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D:\Données\1.UPRT\0-UPRT.fait\1-UPRT.FR-SITE-WEB\ff-fiches-fabrications\ff.fiches.fabrication.2023\ffr.restaurant.2023\"/>
    </mc:Choice>
  </mc:AlternateContent>
  <xr:revisionPtr revIDLastSave="0" documentId="13_ncr:1_{278A7B5F-7ACA-4F30-A0F2-CA5648B1E5DD}" xr6:coauthVersionLast="47" xr6:coauthVersionMax="47" xr10:uidLastSave="{00000000-0000-0000-0000-000000000000}"/>
  <bookViews>
    <workbookView xWindow="-120" yWindow="-120" windowWidth="29040" windowHeight="15720" activeTab="1" xr2:uid="{00000000-000D-0000-FFFF-FFFF00000000}"/>
  </bookViews>
  <sheets>
    <sheet name="Contenu.du.Classeur" sheetId="13" r:id="rId1"/>
    <sheet name="Mode_d_emploi.Plan.Protéines" sheetId="46" r:id="rId2"/>
    <sheet name="MOTEUR_Plan_Protéines" sheetId="45" r:id="rId3"/>
    <sheet name="Textes à coller.1" sheetId="36" r:id="rId4"/>
    <sheet name="Textes à coller.2" sheetId="32" r:id="rId5"/>
    <sheet name="Mode_d_emploi.Suivi.Scolaire" sheetId="44" r:id="rId6"/>
    <sheet name="Exemple_suivi_scolaire" sheetId="43" r:id="rId7"/>
    <sheet name="Exemple_suivi_EHPAD_365j" sheetId="42" r:id="rId8"/>
    <sheet name="Mode_d_emploi.Suivi.EHPAD" sheetId="41" r:id="rId9"/>
    <sheet name="Questionnaire.élèves" sheetId="19" r:id="rId10"/>
    <sheet name="Exploitation.réponses.Elèves" sheetId="20" r:id="rId11"/>
    <sheet name="Questionnaire_EHPAD" sheetId="21" r:id="rId12"/>
    <sheet name="Exploitation_EHPAD" sheetId="22" r:id="rId13"/>
    <sheet name="Proteines_vegetales" sheetId="3" r:id="rId14"/>
    <sheet name="Plan_proteines_explications" sheetId="1" r:id="rId15"/>
    <sheet name="Sources_fiables" sheetId="6" r:id="rId16"/>
    <sheet name="00_Mode_emploi" sheetId="7" r:id="rId17"/>
    <sheet name="Moteur_demo_CFA" sheetId="8" r:id="rId18"/>
    <sheet name="Trosième -moteur" sheetId="12" r:id="rId19"/>
    <sheet name="Regles_moteur" sheetId="11" r:id="rId20"/>
    <sheet name="Prompt.ChatGPT" sheetId="40" r:id="rId21"/>
    <sheet name="Transmission des savoirs.2025" sheetId="39"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45" l="1"/>
  <c r="P4" i="45"/>
  <c r="Q4" i="45" s="1"/>
  <c r="R4" i="45" s="1"/>
  <c r="S4" i="45" s="1"/>
  <c r="J4" i="45" s="1"/>
  <c r="V47" i="45" s="1"/>
  <c r="C5" i="45"/>
  <c r="F36" i="45" s="1"/>
  <c r="F10" i="45"/>
  <c r="F11" i="45"/>
  <c r="V12" i="45"/>
  <c r="W12" i="45"/>
  <c r="Z12" i="45"/>
  <c r="AA12" i="45"/>
  <c r="AB12" i="45"/>
  <c r="F13" i="45"/>
  <c r="F14" i="45"/>
  <c r="V15" i="45"/>
  <c r="W15" i="45"/>
  <c r="Z15" i="45"/>
  <c r="AA15" i="45"/>
  <c r="AB15" i="45"/>
  <c r="F16" i="45"/>
  <c r="V17" i="45"/>
  <c r="W17" i="45"/>
  <c r="Z17" i="45"/>
  <c r="AA17" i="45"/>
  <c r="AB17" i="45"/>
  <c r="F18" i="45"/>
  <c r="F19" i="45"/>
  <c r="F21" i="45"/>
  <c r="V21" i="45"/>
  <c r="AB21" i="45" s="1"/>
  <c r="W21" i="45"/>
  <c r="Z21" i="45"/>
  <c r="AA21" i="45"/>
  <c r="F22" i="45"/>
  <c r="I23" i="45"/>
  <c r="V23" i="45"/>
  <c r="W23" i="45"/>
  <c r="Z23" i="45"/>
  <c r="I24" i="45"/>
  <c r="V24" i="45"/>
  <c r="W24" i="45" s="1"/>
  <c r="I25" i="45"/>
  <c r="V25" i="45"/>
  <c r="W25" i="45"/>
  <c r="Z25" i="45"/>
  <c r="AA25" i="45"/>
  <c r="AB25" i="45"/>
  <c r="F26" i="45"/>
  <c r="I26" i="45"/>
  <c r="I27" i="45"/>
  <c r="F28" i="45"/>
  <c r="I28" i="45"/>
  <c r="V28" i="45"/>
  <c r="W28" i="45" s="1"/>
  <c r="I29" i="45"/>
  <c r="V29" i="45"/>
  <c r="W29" i="45"/>
  <c r="Z29" i="45"/>
  <c r="AA29" i="45"/>
  <c r="I30" i="45"/>
  <c r="V30" i="45"/>
  <c r="W30" i="45" s="1"/>
  <c r="AA30" i="45"/>
  <c r="AB30" i="45"/>
  <c r="F31" i="45"/>
  <c r="I31" i="45"/>
  <c r="F32" i="45"/>
  <c r="I32" i="45"/>
  <c r="F33" i="45"/>
  <c r="V33" i="45"/>
  <c r="W33" i="45"/>
  <c r="Z33" i="45"/>
  <c r="AA33" i="45"/>
  <c r="AB33" i="45"/>
  <c r="F34" i="45"/>
  <c r="V34" i="45"/>
  <c r="W34" i="45" s="1"/>
  <c r="V36" i="45"/>
  <c r="W36" i="45" s="1"/>
  <c r="AA36" i="45"/>
  <c r="AB36" i="45"/>
  <c r="F37" i="45"/>
  <c r="F38" i="45"/>
  <c r="V38" i="45"/>
  <c r="W38" i="45"/>
  <c r="Z38" i="45"/>
  <c r="AA38" i="45"/>
  <c r="AB38" i="45"/>
  <c r="F39" i="45"/>
  <c r="V39" i="45"/>
  <c r="W39" i="45" s="1"/>
  <c r="F41" i="45"/>
  <c r="V41" i="45"/>
  <c r="W41" i="45"/>
  <c r="Z41" i="45"/>
  <c r="AA41" i="45"/>
  <c r="AB41" i="45"/>
  <c r="F42" i="45"/>
  <c r="V42" i="45"/>
  <c r="F44" i="45"/>
  <c r="F45" i="45"/>
  <c r="F46" i="45"/>
  <c r="V46" i="45"/>
  <c r="W46" i="45"/>
  <c r="Z46" i="45"/>
  <c r="AA46" i="45"/>
  <c r="F47" i="45"/>
  <c r="F49" i="45"/>
  <c r="V49" i="45"/>
  <c r="W49" i="45"/>
  <c r="Z49" i="45"/>
  <c r="AA49" i="45"/>
  <c r="AB49" i="45"/>
  <c r="F50" i="45"/>
  <c r="V50" i="45"/>
  <c r="F53" i="45"/>
  <c r="F54" i="45"/>
  <c r="V54" i="45"/>
  <c r="AA54" i="45" s="1"/>
  <c r="W54" i="45"/>
  <c r="Z54" i="45"/>
  <c r="F55" i="45"/>
  <c r="F57" i="45"/>
  <c r="V57" i="45"/>
  <c r="W57" i="45"/>
  <c r="Z57" i="45"/>
  <c r="AA57" i="45"/>
  <c r="AB57" i="45"/>
  <c r="F58" i="45"/>
  <c r="V58" i="45"/>
  <c r="W58" i="45"/>
  <c r="F60" i="45"/>
  <c r="V60" i="45"/>
  <c r="W60" i="45"/>
  <c r="Z60" i="45"/>
  <c r="AA60" i="45"/>
  <c r="AB60" i="45"/>
  <c r="F61" i="45"/>
  <c r="F62" i="45"/>
  <c r="D91" i="45" s="1"/>
  <c r="V62" i="45"/>
  <c r="F63" i="45"/>
  <c r="V63" i="45"/>
  <c r="W63" i="45" s="1"/>
  <c r="AA63" i="45"/>
  <c r="F65" i="45"/>
  <c r="V65" i="45"/>
  <c r="W65" i="45"/>
  <c r="F66" i="45"/>
  <c r="V66" i="45"/>
  <c r="W66" i="45" s="1"/>
  <c r="F68" i="45"/>
  <c r="V68" i="45"/>
  <c r="W68" i="45"/>
  <c r="Z68" i="45"/>
  <c r="AA68" i="45"/>
  <c r="AB68" i="45"/>
  <c r="F69" i="45"/>
  <c r="F70" i="45"/>
  <c r="V70" i="45"/>
  <c r="F71" i="45"/>
  <c r="F73" i="45"/>
  <c r="V73" i="45"/>
  <c r="W73" i="45"/>
  <c r="Z73" i="45"/>
  <c r="AA73" i="45"/>
  <c r="F74" i="45"/>
  <c r="V74" i="45"/>
  <c r="W74" i="45" s="1"/>
  <c r="F76" i="45"/>
  <c r="V76" i="45"/>
  <c r="W76" i="45"/>
  <c r="Z76" i="45"/>
  <c r="AA76" i="45"/>
  <c r="AB76" i="45"/>
  <c r="F77" i="45"/>
  <c r="F78" i="45"/>
  <c r="V78" i="45"/>
  <c r="Z78" i="45" s="1"/>
  <c r="W78" i="45"/>
  <c r="V79" i="45"/>
  <c r="W79" i="45"/>
  <c r="Z79" i="45"/>
  <c r="AA79" i="45"/>
  <c r="F81" i="45"/>
  <c r="V81" i="45"/>
  <c r="W81" i="45"/>
  <c r="V82" i="45"/>
  <c r="W82" i="45" s="1"/>
  <c r="Z82" i="45"/>
  <c r="V84" i="45"/>
  <c r="W84" i="45"/>
  <c r="V85" i="45"/>
  <c r="W85" i="45"/>
  <c r="Z85" i="45"/>
  <c r="AA85" i="45"/>
  <c r="V87" i="45"/>
  <c r="W87" i="45"/>
  <c r="Z87" i="45"/>
  <c r="AA87" i="45"/>
  <c r="V89" i="45"/>
  <c r="W89" i="45" s="1"/>
  <c r="Z89" i="45"/>
  <c r="V91" i="45"/>
  <c r="W91" i="45"/>
  <c r="B94" i="45"/>
  <c r="C94" i="45"/>
  <c r="D94" i="45"/>
  <c r="E94" i="45"/>
  <c r="F94" i="45"/>
  <c r="G94" i="45"/>
  <c r="H94" i="45"/>
  <c r="V94" i="45"/>
  <c r="W94" i="45" s="1"/>
  <c r="V95" i="45"/>
  <c r="W95" i="45"/>
  <c r="V96" i="45"/>
  <c r="V97" i="45"/>
  <c r="W97" i="45"/>
  <c r="V98" i="45"/>
  <c r="W98" i="45" s="1"/>
  <c r="Z98" i="45"/>
  <c r="V100" i="45"/>
  <c r="W100" i="45"/>
  <c r="Z100" i="45"/>
  <c r="AA100" i="45"/>
  <c r="AB100" i="45"/>
  <c r="V101" i="45"/>
  <c r="V103" i="45"/>
  <c r="W103" i="45"/>
  <c r="Z103" i="45"/>
  <c r="AA103" i="45"/>
  <c r="AB103" i="45"/>
  <c r="V104" i="45"/>
  <c r="V106" i="45"/>
  <c r="W106" i="45" s="1"/>
  <c r="V107" i="45"/>
  <c r="W107" i="45"/>
  <c r="V109" i="45"/>
  <c r="W109" i="45"/>
  <c r="Z109" i="45"/>
  <c r="AA109" i="45"/>
  <c r="AB109" i="45"/>
  <c r="V110" i="45"/>
  <c r="Z110" i="45" s="1"/>
  <c r="W110" i="45"/>
  <c r="V113" i="45"/>
  <c r="W113" i="45"/>
  <c r="Z113" i="45"/>
  <c r="AA113" i="45"/>
  <c r="V115" i="45"/>
  <c r="V116" i="45"/>
  <c r="W116" i="45" s="1"/>
  <c r="V118" i="45"/>
  <c r="W118" i="45"/>
  <c r="Z118" i="45"/>
  <c r="AA118" i="45"/>
  <c r="AB118" i="45"/>
  <c r="V119" i="45"/>
  <c r="W119" i="45" s="1"/>
  <c r="V122" i="45"/>
  <c r="W122" i="45"/>
  <c r="Z122" i="45"/>
  <c r="AA122" i="45"/>
  <c r="AB122" i="45"/>
  <c r="V123" i="45"/>
  <c r="W123" i="45" s="1"/>
  <c r="V125" i="45"/>
  <c r="W125" i="45" s="1"/>
  <c r="Z125" i="45"/>
  <c r="V126" i="45"/>
  <c r="W126" i="45"/>
  <c r="Z126" i="45"/>
  <c r="V128" i="45"/>
  <c r="W128" i="45"/>
  <c r="Z128" i="45"/>
  <c r="AA128" i="45"/>
  <c r="V129" i="45"/>
  <c r="W129" i="45" s="1"/>
  <c r="Z130" i="45"/>
  <c r="AA130" i="45"/>
  <c r="AB130" i="45" s="1"/>
  <c r="Z131" i="45"/>
  <c r="AA131" i="45"/>
  <c r="AB131" i="45"/>
  <c r="Z132" i="45"/>
  <c r="AA132" i="45"/>
  <c r="AB132" i="45"/>
  <c r="Z133" i="45"/>
  <c r="AA133" i="45"/>
  <c r="AB133" i="45" s="1"/>
  <c r="Z134" i="45"/>
  <c r="AA134" i="45"/>
  <c r="AB134" i="45" s="1"/>
  <c r="Z135" i="45"/>
  <c r="AA135" i="45"/>
  <c r="AB135" i="45" s="1"/>
  <c r="Z136" i="45"/>
  <c r="AA136" i="45"/>
  <c r="AB136" i="45"/>
  <c r="Z137" i="45"/>
  <c r="AA137" i="45"/>
  <c r="AB137" i="45"/>
  <c r="Z138" i="45"/>
  <c r="AA138" i="45"/>
  <c r="AB138" i="45"/>
  <c r="Z139" i="45"/>
  <c r="AA139" i="45"/>
  <c r="AB139" i="45" s="1"/>
  <c r="Z140" i="45"/>
  <c r="AA140" i="45"/>
  <c r="AB140" i="45"/>
  <c r="Z141" i="45"/>
  <c r="AA141" i="45"/>
  <c r="AB141" i="45"/>
  <c r="Z142" i="45"/>
  <c r="AA142" i="45"/>
  <c r="AB142" i="45"/>
  <c r="Z143" i="45"/>
  <c r="AA143" i="45"/>
  <c r="AB143" i="45"/>
  <c r="Z144" i="45"/>
  <c r="AA144" i="45"/>
  <c r="AB144" i="45"/>
  <c r="Z145" i="45"/>
  <c r="AA145" i="45"/>
  <c r="AB145" i="45" s="1"/>
  <c r="Z146" i="45"/>
  <c r="AA146" i="45"/>
  <c r="AB146" i="45" s="1"/>
  <c r="Z147" i="45"/>
  <c r="AA147" i="45"/>
  <c r="AB147" i="45"/>
  <c r="Z148" i="45"/>
  <c r="AA148" i="45"/>
  <c r="AB148" i="45"/>
  <c r="Z149" i="45"/>
  <c r="AA149" i="45"/>
  <c r="AB149" i="45"/>
  <c r="Z150" i="45"/>
  <c r="AA150" i="45"/>
  <c r="AB150" i="45"/>
  <c r="Z151" i="45"/>
  <c r="AA151" i="45"/>
  <c r="AB151" i="45" s="1"/>
  <c r="Z152" i="45"/>
  <c r="AA152" i="45"/>
  <c r="AB152" i="45"/>
  <c r="Z153" i="45"/>
  <c r="AA153" i="45"/>
  <c r="AB153" i="45"/>
  <c r="Z154" i="45"/>
  <c r="AA154" i="45"/>
  <c r="AB154" i="45"/>
  <c r="Z155" i="45"/>
  <c r="AA155" i="45"/>
  <c r="AB155" i="45"/>
  <c r="Z156" i="45"/>
  <c r="AA156" i="45"/>
  <c r="AB156" i="45"/>
  <c r="Z157" i="45"/>
  <c r="AA157" i="45"/>
  <c r="AB157" i="45"/>
  <c r="Z158" i="45"/>
  <c r="AA158" i="45"/>
  <c r="AB158" i="45"/>
  <c r="Z159" i="45"/>
  <c r="AA159" i="45"/>
  <c r="AB159" i="45"/>
  <c r="Z160" i="45"/>
  <c r="AA160" i="45"/>
  <c r="AB160" i="45"/>
  <c r="Z161" i="45"/>
  <c r="AA161" i="45"/>
  <c r="AB161" i="45" s="1"/>
  <c r="Z162" i="45"/>
  <c r="AA162" i="45"/>
  <c r="AB162" i="45" s="1"/>
  <c r="Z163" i="45"/>
  <c r="AA163" i="45"/>
  <c r="AB163" i="45" s="1"/>
  <c r="Z164" i="45"/>
  <c r="AA164" i="45"/>
  <c r="AB164" i="45"/>
  <c r="Z165" i="45"/>
  <c r="AA165" i="45"/>
  <c r="AB165" i="45"/>
  <c r="Z166" i="45"/>
  <c r="AA166" i="45"/>
  <c r="AB166" i="45"/>
  <c r="Z167" i="45"/>
  <c r="AA167" i="45"/>
  <c r="AB167" i="45" s="1"/>
  <c r="Z168" i="45"/>
  <c r="AA168" i="45"/>
  <c r="AB168" i="45"/>
  <c r="Z169" i="45"/>
  <c r="AA169" i="45"/>
  <c r="AB169" i="45"/>
  <c r="Z170" i="45"/>
  <c r="AA170" i="45"/>
  <c r="AB170" i="45"/>
  <c r="W115" i="45" l="1"/>
  <c r="Z115" i="45"/>
  <c r="AA115" i="45"/>
  <c r="AB115" i="45"/>
  <c r="Z50" i="45"/>
  <c r="AA50" i="45"/>
  <c r="AB50" i="45"/>
  <c r="W50" i="45"/>
  <c r="AA101" i="45"/>
  <c r="AB101" i="45"/>
  <c r="W101" i="45"/>
  <c r="Z101" i="45"/>
  <c r="Z42" i="45"/>
  <c r="AA42" i="45"/>
  <c r="AB42" i="45"/>
  <c r="Z62" i="45"/>
  <c r="AA62" i="45"/>
  <c r="AB62" i="45" s="1"/>
  <c r="W62" i="45"/>
  <c r="AB29" i="45"/>
  <c r="AB46" i="45"/>
  <c r="W70" i="45"/>
  <c r="Z70" i="45"/>
  <c r="AA70" i="45"/>
  <c r="AB70" i="45"/>
  <c r="F91" i="45"/>
  <c r="E91" i="45"/>
  <c r="C103" i="45" s="1"/>
  <c r="W47" i="45"/>
  <c r="Z47" i="45"/>
  <c r="AA47" i="45"/>
  <c r="AB47" i="45" s="1"/>
  <c r="Z123" i="45"/>
  <c r="AA123" i="45"/>
  <c r="AB123" i="45"/>
  <c r="Z119" i="45"/>
  <c r="AA119" i="45"/>
  <c r="AB119" i="45"/>
  <c r="W42" i="45"/>
  <c r="AB128" i="45"/>
  <c r="AB73" i="45"/>
  <c r="Z34" i="45"/>
  <c r="AA34" i="45"/>
  <c r="AB34" i="45"/>
  <c r="W104" i="45"/>
  <c r="Z104" i="45"/>
  <c r="AA104" i="45"/>
  <c r="AB104" i="45"/>
  <c r="W96" i="45"/>
  <c r="Z96" i="45"/>
  <c r="AA96" i="45"/>
  <c r="AB96" i="45" s="1"/>
  <c r="AB85" i="45"/>
  <c r="Z107" i="45"/>
  <c r="AA107" i="45"/>
  <c r="AB107" i="45"/>
  <c r="AB98" i="45"/>
  <c r="AB79" i="45"/>
  <c r="Z63" i="45"/>
  <c r="V52" i="45"/>
  <c r="Z36" i="45"/>
  <c r="Z30" i="45"/>
  <c r="F25" i="45"/>
  <c r="V19" i="45"/>
  <c r="V14" i="45"/>
  <c r="F9" i="45"/>
  <c r="AA125" i="45"/>
  <c r="AB125" i="45" s="1"/>
  <c r="V112" i="45"/>
  <c r="AB106" i="45"/>
  <c r="AA98" i="45"/>
  <c r="AB94" i="45"/>
  <c r="V93" i="45"/>
  <c r="K17" i="45" s="1"/>
  <c r="AA89" i="45"/>
  <c r="AB89" i="45" s="1"/>
  <c r="F79" i="45"/>
  <c r="V71" i="45"/>
  <c r="F52" i="45"/>
  <c r="V44" i="45"/>
  <c r="F27" i="45"/>
  <c r="AB24" i="45"/>
  <c r="AB113" i="45"/>
  <c r="AB87" i="45"/>
  <c r="AA94" i="45"/>
  <c r="AB63" i="45"/>
  <c r="AA39" i="45"/>
  <c r="AB39" i="45" s="1"/>
  <c r="AA28" i="45"/>
  <c r="AB28" i="45"/>
  <c r="AA24" i="45"/>
  <c r="V11" i="45"/>
  <c r="Z129" i="45"/>
  <c r="V120" i="45"/>
  <c r="Z106" i="45"/>
  <c r="Z94" i="45"/>
  <c r="AA78" i="45"/>
  <c r="AB78" i="45" s="1"/>
  <c r="V55" i="45"/>
  <c r="Z39" i="45"/>
  <c r="Z24" i="45"/>
  <c r="J10" i="45"/>
  <c r="AA23" i="45"/>
  <c r="AB23" i="45"/>
  <c r="AA126" i="45"/>
  <c r="AB126" i="45"/>
  <c r="AA129" i="45"/>
  <c r="AA106" i="45"/>
  <c r="AA82" i="45"/>
  <c r="AB82" i="45"/>
  <c r="Z74" i="45"/>
  <c r="AA74" i="45"/>
  <c r="AB74" i="45"/>
  <c r="F30" i="45"/>
  <c r="F48" i="45"/>
  <c r="D90" i="45" s="1"/>
  <c r="F80" i="45"/>
  <c r="F15" i="45"/>
  <c r="F40" i="45"/>
  <c r="F56" i="45"/>
  <c r="F64" i="45"/>
  <c r="F72" i="45"/>
  <c r="F24" i="45"/>
  <c r="F12" i="45"/>
  <c r="F20" i="45"/>
  <c r="D87" i="45" s="1"/>
  <c r="F29" i="45"/>
  <c r="F35" i="45"/>
  <c r="F43" i="45"/>
  <c r="F51" i="45"/>
  <c r="F59" i="45"/>
  <c r="F67" i="45"/>
  <c r="F75" i="45"/>
  <c r="F17" i="45"/>
  <c r="F23" i="45"/>
  <c r="V16" i="45"/>
  <c r="V22" i="45"/>
  <c r="V37" i="45"/>
  <c r="V45" i="45"/>
  <c r="V53" i="45"/>
  <c r="V61" i="45"/>
  <c r="J14" i="45" s="1"/>
  <c r="V69" i="45"/>
  <c r="V77" i="45"/>
  <c r="V117" i="45"/>
  <c r="V99" i="45"/>
  <c r="V27" i="45"/>
  <c r="V114" i="45"/>
  <c r="V31" i="45"/>
  <c r="V13" i="45"/>
  <c r="V32" i="45"/>
  <c r="V40" i="45"/>
  <c r="V48" i="45"/>
  <c r="V56" i="45"/>
  <c r="V64" i="45"/>
  <c r="V72" i="45"/>
  <c r="V80" i="45"/>
  <c r="V83" i="45"/>
  <c r="V111" i="45"/>
  <c r="J19" i="45" s="1"/>
  <c r="V127" i="45"/>
  <c r="V26" i="45"/>
  <c r="K10" i="45" s="1"/>
  <c r="V35" i="45"/>
  <c r="V43" i="45"/>
  <c r="V59" i="45"/>
  <c r="V67" i="45"/>
  <c r="V75" i="45"/>
  <c r="V86" i="45"/>
  <c r="V90" i="45"/>
  <c r="V105" i="45"/>
  <c r="V121" i="45"/>
  <c r="V102" i="45"/>
  <c r="V108" i="45"/>
  <c r="V124" i="45"/>
  <c r="V10" i="45"/>
  <c r="Z116" i="45" s="1"/>
  <c r="V18" i="45"/>
  <c r="V20" i="45"/>
  <c r="V51" i="45"/>
  <c r="V88" i="45"/>
  <c r="V92" i="45"/>
  <c r="AB129" i="45"/>
  <c r="AA66" i="45"/>
  <c r="AB66" i="45"/>
  <c r="AB54" i="45"/>
  <c r="AA110" i="45"/>
  <c r="AB110" i="45"/>
  <c r="AA91" i="45"/>
  <c r="AB91" i="45" s="1"/>
  <c r="Z58" i="45"/>
  <c r="AA58" i="45"/>
  <c r="AB58" i="45"/>
  <c r="E37" i="43"/>
  <c r="E38" i="43" s="1"/>
  <c r="E34" i="43"/>
  <c r="AE29" i="43"/>
  <c r="AC29" i="43"/>
  <c r="Y29" i="43"/>
  <c r="X29" i="43"/>
  <c r="W29" i="43"/>
  <c r="V29" i="43"/>
  <c r="T29" i="43"/>
  <c r="I29" i="43"/>
  <c r="B37" i="43" s="1"/>
  <c r="H29" i="43"/>
  <c r="E9" i="43" s="1"/>
  <c r="G29" i="43"/>
  <c r="E8" i="43" s="1"/>
  <c r="B29" i="43"/>
  <c r="T28" i="43"/>
  <c r="E28" i="43"/>
  <c r="F28" i="43" s="1"/>
  <c r="C28" i="43"/>
  <c r="D28" i="43" s="1"/>
  <c r="E27" i="43"/>
  <c r="F27" i="43" s="1"/>
  <c r="C27" i="43"/>
  <c r="D27" i="43" s="1"/>
  <c r="W27" i="43" s="1"/>
  <c r="E26" i="43"/>
  <c r="F26" i="43" s="1"/>
  <c r="C26" i="43"/>
  <c r="D26" i="43" s="1"/>
  <c r="Z26" i="43" s="1"/>
  <c r="E25" i="43"/>
  <c r="F25" i="43" s="1"/>
  <c r="C25" i="43"/>
  <c r="D25" i="43" s="1"/>
  <c r="F24" i="43"/>
  <c r="E24" i="43"/>
  <c r="C24" i="43"/>
  <c r="D24" i="43" s="1"/>
  <c r="Z23" i="43"/>
  <c r="Y23" i="43"/>
  <c r="X23" i="43"/>
  <c r="W23" i="43"/>
  <c r="V23" i="43"/>
  <c r="U23" i="43"/>
  <c r="T23" i="43"/>
  <c r="E23" i="43"/>
  <c r="F23" i="43" s="1"/>
  <c r="D23" i="43"/>
  <c r="AD23" i="43" s="1"/>
  <c r="C23" i="43"/>
  <c r="E22" i="43"/>
  <c r="F22" i="43" s="1"/>
  <c r="C22" i="43"/>
  <c r="D22" i="43" s="1"/>
  <c r="W22" i="43" s="1"/>
  <c r="E21" i="43"/>
  <c r="F21" i="43" s="1"/>
  <c r="C21" i="43"/>
  <c r="D21" i="43" s="1"/>
  <c r="E20" i="43"/>
  <c r="F20" i="43" s="1"/>
  <c r="C20" i="43"/>
  <c r="D20" i="43" s="1"/>
  <c r="AE19" i="43"/>
  <c r="F19" i="43"/>
  <c r="E19" i="43"/>
  <c r="C19" i="43"/>
  <c r="E18" i="43"/>
  <c r="E29" i="43" s="1"/>
  <c r="C18" i="43"/>
  <c r="D18" i="43" s="1"/>
  <c r="F17" i="43"/>
  <c r="M17" i="43" s="1"/>
  <c r="E17" i="43"/>
  <c r="C17" i="43"/>
  <c r="C29" i="43" s="1"/>
  <c r="R15" i="43"/>
  <c r="Q15" i="43"/>
  <c r="P15" i="43"/>
  <c r="O15" i="43"/>
  <c r="N15" i="43"/>
  <c r="M15" i="43"/>
  <c r="L15" i="43"/>
  <c r="K15" i="43"/>
  <c r="J15" i="43"/>
  <c r="I15" i="43"/>
  <c r="H15" i="43"/>
  <c r="G15" i="43"/>
  <c r="F15" i="43"/>
  <c r="E15" i="43"/>
  <c r="D15" i="43"/>
  <c r="C15" i="43"/>
  <c r="B15" i="43"/>
  <c r="A15" i="43"/>
  <c r="B12" i="43"/>
  <c r="F1" i="43" s="1"/>
  <c r="E10" i="43"/>
  <c r="B9" i="43"/>
  <c r="D19" i="43" s="1"/>
  <c r="A2" i="43"/>
  <c r="D1" i="43"/>
  <c r="E87" i="45" l="1"/>
  <c r="C99" i="45" s="1"/>
  <c r="F87" i="45"/>
  <c r="E90" i="45"/>
  <c r="C102" i="45" s="1"/>
  <c r="F90" i="45"/>
  <c r="W69" i="45"/>
  <c r="Z69" i="45"/>
  <c r="AA69" i="45"/>
  <c r="AB69" i="45" s="1"/>
  <c r="L10" i="45"/>
  <c r="W124" i="45"/>
  <c r="AA124" i="45"/>
  <c r="AB124" i="45"/>
  <c r="Z124" i="45"/>
  <c r="Z28" i="45"/>
  <c r="W37" i="45"/>
  <c r="Z37" i="45"/>
  <c r="AA37" i="45"/>
  <c r="AB37" i="45"/>
  <c r="W105" i="45"/>
  <c r="Z105" i="45"/>
  <c r="AA105" i="45"/>
  <c r="AB105" i="45" s="1"/>
  <c r="AA71" i="45"/>
  <c r="AB71" i="45" s="1"/>
  <c r="W71" i="45"/>
  <c r="Z71" i="45"/>
  <c r="AA52" i="45"/>
  <c r="AB52" i="45"/>
  <c r="Z52" i="45"/>
  <c r="W52" i="45"/>
  <c r="Z66" i="45"/>
  <c r="W22" i="45"/>
  <c r="Z22" i="45"/>
  <c r="AA22" i="45"/>
  <c r="AB22" i="45"/>
  <c r="AA112" i="45"/>
  <c r="Z112" i="45"/>
  <c r="AB112" i="45"/>
  <c r="W112" i="45"/>
  <c r="D86" i="45"/>
  <c r="C97" i="45"/>
  <c r="W67" i="45"/>
  <c r="K15" i="45" s="1"/>
  <c r="Z67" i="45"/>
  <c r="AA67" i="45"/>
  <c r="AB67" i="45" s="1"/>
  <c r="J11" i="45"/>
  <c r="K11" i="45"/>
  <c r="W31" i="45"/>
  <c r="Z31" i="45"/>
  <c r="AA31" i="45"/>
  <c r="AB31" i="45"/>
  <c r="D92" i="45"/>
  <c r="AA14" i="45"/>
  <c r="AB14" i="45" s="1"/>
  <c r="Z14" i="45"/>
  <c r="W14" i="45"/>
  <c r="W102" i="45"/>
  <c r="Z102" i="45"/>
  <c r="AA102" i="45"/>
  <c r="AB102" i="45"/>
  <c r="W10" i="45"/>
  <c r="Z10" i="45"/>
  <c r="AA10" i="45"/>
  <c r="Z65" i="45"/>
  <c r="Z95" i="45"/>
  <c r="J5" i="45"/>
  <c r="O5" i="45" s="1"/>
  <c r="K9" i="45"/>
  <c r="Z84" i="45"/>
  <c r="J9" i="45"/>
  <c r="Z97" i="45"/>
  <c r="Z81" i="45"/>
  <c r="Z91" i="45"/>
  <c r="AB10" i="45"/>
  <c r="Z80" i="45"/>
  <c r="W80" i="45"/>
  <c r="AA80" i="45"/>
  <c r="AB80" i="45" s="1"/>
  <c r="J13" i="45"/>
  <c r="W108" i="45"/>
  <c r="K19" i="45" s="1"/>
  <c r="L19" i="45" s="1"/>
  <c r="Z108" i="45"/>
  <c r="AA116" i="45"/>
  <c r="AB116" i="45" s="1"/>
  <c r="AA108" i="45"/>
  <c r="AB108" i="45" s="1"/>
  <c r="W64" i="45"/>
  <c r="Z64" i="45"/>
  <c r="AA64" i="45"/>
  <c r="AB64" i="45"/>
  <c r="Z56" i="45"/>
  <c r="W56" i="45"/>
  <c r="K13" i="45" s="1"/>
  <c r="AB56" i="45"/>
  <c r="AA56" i="45"/>
  <c r="AA90" i="45"/>
  <c r="W90" i="45"/>
  <c r="Z90" i="45"/>
  <c r="AB90" i="45"/>
  <c r="W86" i="45"/>
  <c r="Z86" i="45"/>
  <c r="AA86" i="45"/>
  <c r="AB86" i="45"/>
  <c r="AA13" i="45"/>
  <c r="Z13" i="45"/>
  <c r="W13" i="45"/>
  <c r="AB13" i="45"/>
  <c r="W120" i="45"/>
  <c r="Z120" i="45"/>
  <c r="AA120" i="45"/>
  <c r="AB120" i="45" s="1"/>
  <c r="Z19" i="45"/>
  <c r="AA19" i="45"/>
  <c r="AB19" i="45"/>
  <c r="W19" i="45"/>
  <c r="W92" i="45"/>
  <c r="Z92" i="45"/>
  <c r="AA92" i="45"/>
  <c r="AB92" i="45"/>
  <c r="AA97" i="45"/>
  <c r="AB97" i="45" s="1"/>
  <c r="W43" i="45"/>
  <c r="Z43" i="45"/>
  <c r="AA43" i="45"/>
  <c r="AB43" i="45"/>
  <c r="W27" i="45"/>
  <c r="AB27" i="45"/>
  <c r="Z27" i="45"/>
  <c r="AA27" i="45"/>
  <c r="W18" i="45"/>
  <c r="AA18" i="45"/>
  <c r="AB18" i="45" s="1"/>
  <c r="Z18" i="45"/>
  <c r="W61" i="45"/>
  <c r="Z61" i="45"/>
  <c r="AB61" i="45"/>
  <c r="AA61" i="45"/>
  <c r="K14" i="45"/>
  <c r="L14" i="45" s="1"/>
  <c r="Z72" i="45"/>
  <c r="W72" i="45"/>
  <c r="AA72" i="45"/>
  <c r="AB72" i="45" s="1"/>
  <c r="Z48" i="45"/>
  <c r="W48" i="45"/>
  <c r="AA48" i="45"/>
  <c r="AB48" i="45" s="1"/>
  <c r="W55" i="45"/>
  <c r="Z55" i="45"/>
  <c r="AA55" i="45"/>
  <c r="AB55" i="45" s="1"/>
  <c r="W75" i="45"/>
  <c r="Z75" i="45"/>
  <c r="AA75" i="45"/>
  <c r="AB75" i="45"/>
  <c r="W114" i="45"/>
  <c r="AA114" i="45"/>
  <c r="Z114" i="45"/>
  <c r="AB114" i="45"/>
  <c r="Z88" i="45"/>
  <c r="AA88" i="45"/>
  <c r="AB88" i="45" s="1"/>
  <c r="W88" i="45"/>
  <c r="W35" i="45"/>
  <c r="Z35" i="45"/>
  <c r="AA35" i="45"/>
  <c r="AB35" i="45"/>
  <c r="J18" i="45"/>
  <c r="K18" i="45"/>
  <c r="W99" i="45"/>
  <c r="AA99" i="45"/>
  <c r="Z99" i="45"/>
  <c r="AB99" i="45"/>
  <c r="D88" i="45"/>
  <c r="Z11" i="45"/>
  <c r="AA11" i="45"/>
  <c r="AB11" i="45" s="1"/>
  <c r="W11" i="45"/>
  <c r="W111" i="45"/>
  <c r="Z111" i="45"/>
  <c r="AA111" i="45"/>
  <c r="AB111" i="45"/>
  <c r="J15" i="45"/>
  <c r="W45" i="45"/>
  <c r="Z45" i="45"/>
  <c r="AA45" i="45"/>
  <c r="AB45" i="45"/>
  <c r="D89" i="45"/>
  <c r="W40" i="45"/>
  <c r="K12" i="45" s="1"/>
  <c r="J12" i="45"/>
  <c r="Z40" i="45"/>
  <c r="AA40" i="45"/>
  <c r="AB40" i="45" s="1"/>
  <c r="W32" i="45"/>
  <c r="Z32" i="45"/>
  <c r="AA32" i="45"/>
  <c r="AB32" i="45"/>
  <c r="W59" i="45"/>
  <c r="Z59" i="45"/>
  <c r="AA59" i="45"/>
  <c r="AB59" i="45" s="1"/>
  <c r="AA65" i="45"/>
  <c r="AB65" i="45" s="1"/>
  <c r="W51" i="45"/>
  <c r="Z51" i="45"/>
  <c r="AA51" i="45"/>
  <c r="AB51" i="45"/>
  <c r="W117" i="45"/>
  <c r="Z117" i="45"/>
  <c r="AB117" i="45"/>
  <c r="AA117" i="45"/>
  <c r="J17" i="45"/>
  <c r="AA44" i="45"/>
  <c r="AB44" i="45" s="1"/>
  <c r="W44" i="45"/>
  <c r="Z44" i="45"/>
  <c r="Z83" i="45"/>
  <c r="W83" i="45"/>
  <c r="AA83" i="45"/>
  <c r="AB83" i="45"/>
  <c r="W53" i="45"/>
  <c r="Z53" i="45"/>
  <c r="AA53" i="45"/>
  <c r="AB53" i="45" s="1"/>
  <c r="AA93" i="45"/>
  <c r="W93" i="45"/>
  <c r="Z93" i="45"/>
  <c r="AB93" i="45"/>
  <c r="W121" i="45"/>
  <c r="Z121" i="45"/>
  <c r="AA121" i="45"/>
  <c r="AB121" i="45" s="1"/>
  <c r="W16" i="45"/>
  <c r="Z16" i="45"/>
  <c r="AA16" i="45"/>
  <c r="AB16" i="45"/>
  <c r="AA95" i="45"/>
  <c r="AB95" i="45" s="1"/>
  <c r="W26" i="45"/>
  <c r="Z26" i="45"/>
  <c r="AA26" i="45"/>
  <c r="AB26" i="45" s="1"/>
  <c r="W20" i="45"/>
  <c r="AA20" i="45"/>
  <c r="AB20" i="45" s="1"/>
  <c r="Z20" i="45"/>
  <c r="W127" i="45"/>
  <c r="Z127" i="45"/>
  <c r="AA127" i="45"/>
  <c r="AB127" i="45" s="1"/>
  <c r="W77" i="45"/>
  <c r="Z77" i="45"/>
  <c r="AA77" i="45"/>
  <c r="AB77" i="45"/>
  <c r="J16" i="45"/>
  <c r="K16" i="45"/>
  <c r="AA84" i="45"/>
  <c r="AB84" i="45" s="1"/>
  <c r="AA81" i="45"/>
  <c r="AB81" i="45" s="1"/>
  <c r="X21" i="43"/>
  <c r="T21" i="43"/>
  <c r="AE21" i="43"/>
  <c r="AB21" i="43"/>
  <c r="Z21" i="43"/>
  <c r="W21" i="43"/>
  <c r="V21" i="43"/>
  <c r="U21" i="43"/>
  <c r="AA21" i="43"/>
  <c r="AC21" i="43"/>
  <c r="M28" i="43"/>
  <c r="L28" i="43"/>
  <c r="M21" i="43"/>
  <c r="L21" i="43"/>
  <c r="N17" i="43"/>
  <c r="Y21" i="43"/>
  <c r="L24" i="43"/>
  <c r="M24" i="43"/>
  <c r="N24" i="43" s="1"/>
  <c r="AB25" i="43"/>
  <c r="X25" i="43"/>
  <c r="AA25" i="43"/>
  <c r="Z25" i="43"/>
  <c r="Y25" i="43"/>
  <c r="W25" i="43"/>
  <c r="V25" i="43"/>
  <c r="U25" i="43"/>
  <c r="T25" i="43"/>
  <c r="AE25" i="43"/>
  <c r="AC25" i="43"/>
  <c r="M23" i="43"/>
  <c r="L23" i="43"/>
  <c r="M26" i="43"/>
  <c r="L26" i="43"/>
  <c r="Z19" i="43"/>
  <c r="U19" i="43"/>
  <c r="AC19" i="43"/>
  <c r="AB19" i="43"/>
  <c r="AA19" i="43"/>
  <c r="Y19" i="43"/>
  <c r="X19" i="43"/>
  <c r="W19" i="43"/>
  <c r="V19" i="43"/>
  <c r="T19" i="43"/>
  <c r="U22" i="43"/>
  <c r="AA22" i="43"/>
  <c r="Y22" i="43"/>
  <c r="X22" i="43"/>
  <c r="T22" i="43"/>
  <c r="AE22" i="43"/>
  <c r="AC22" i="43"/>
  <c r="AB22" i="43"/>
  <c r="Z22" i="43"/>
  <c r="AC18" i="43"/>
  <c r="AE18" i="43"/>
  <c r="X18" i="43"/>
  <c r="U18" i="43"/>
  <c r="AB18" i="43"/>
  <c r="AA18" i="43"/>
  <c r="Z18" i="43"/>
  <c r="Y18" i="43"/>
  <c r="W18" i="43"/>
  <c r="T18" i="43"/>
  <c r="V18" i="43"/>
  <c r="V22" i="43"/>
  <c r="E6" i="43"/>
  <c r="B34" i="43"/>
  <c r="M25" i="43"/>
  <c r="L25" i="43"/>
  <c r="AA20" i="43"/>
  <c r="W20" i="43"/>
  <c r="AE20" i="43"/>
  <c r="AC20" i="43"/>
  <c r="Z20" i="43"/>
  <c r="Y20" i="43"/>
  <c r="X20" i="43"/>
  <c r="V20" i="43"/>
  <c r="U20" i="43"/>
  <c r="T20" i="43"/>
  <c r="AD20" i="43"/>
  <c r="Y26" i="43"/>
  <c r="U26" i="43"/>
  <c r="AC26" i="43"/>
  <c r="X26" i="43"/>
  <c r="W26" i="43"/>
  <c r="V26" i="43"/>
  <c r="AA26" i="43"/>
  <c r="T26" i="43"/>
  <c r="AE26" i="43"/>
  <c r="AB26" i="43"/>
  <c r="M19" i="43"/>
  <c r="L19" i="43"/>
  <c r="V27" i="43"/>
  <c r="AB27" i="43"/>
  <c r="Z27" i="43"/>
  <c r="U27" i="43"/>
  <c r="T27" i="43"/>
  <c r="AC27" i="43"/>
  <c r="AA27" i="43"/>
  <c r="AE27" i="43"/>
  <c r="Y27" i="43"/>
  <c r="L20" i="43"/>
  <c r="M20" i="43"/>
  <c r="N20" i="43" s="1"/>
  <c r="X27" i="43"/>
  <c r="AE24" i="43"/>
  <c r="AA24" i="43"/>
  <c r="AD24" i="43"/>
  <c r="AC24" i="43"/>
  <c r="AB24" i="43"/>
  <c r="V24" i="43"/>
  <c r="Z24" i="43"/>
  <c r="Y24" i="43"/>
  <c r="X24" i="43"/>
  <c r="W24" i="43"/>
  <c r="U24" i="43"/>
  <c r="T24" i="43"/>
  <c r="L22" i="43"/>
  <c r="M22" i="43"/>
  <c r="N22" i="43" s="1"/>
  <c r="AD22" i="43" s="1"/>
  <c r="M27" i="43"/>
  <c r="L27" i="43"/>
  <c r="AB20" i="43"/>
  <c r="AE28" i="43"/>
  <c r="U28" i="43"/>
  <c r="W28" i="43"/>
  <c r="V28" i="43"/>
  <c r="AC28" i="43"/>
  <c r="AB28" i="43"/>
  <c r="AA28" i="43"/>
  <c r="Z28" i="43"/>
  <c r="Y28" i="43"/>
  <c r="X28" i="43"/>
  <c r="B13" i="43"/>
  <c r="AA23" i="43"/>
  <c r="D17" i="43"/>
  <c r="AB23" i="43"/>
  <c r="AC23" i="43"/>
  <c r="L17" i="43"/>
  <c r="AE23" i="43"/>
  <c r="F18" i="43"/>
  <c r="B38" i="43"/>
  <c r="B67" i="42"/>
  <c r="E67" i="42" s="1"/>
  <c r="G50" i="42"/>
  <c r="G49" i="42"/>
  <c r="G48" i="42"/>
  <c r="G47" i="42"/>
  <c r="G46" i="42"/>
  <c r="O42" i="42"/>
  <c r="N42" i="42"/>
  <c r="D42" i="42"/>
  <c r="C42" i="42"/>
  <c r="B42" i="42"/>
  <c r="M41" i="42"/>
  <c r="G41" i="42"/>
  <c r="J41" i="42" s="1"/>
  <c r="F41" i="42"/>
  <c r="E41" i="42"/>
  <c r="H41" i="42" s="1"/>
  <c r="L41" i="42" s="1"/>
  <c r="M40" i="42"/>
  <c r="J40" i="42"/>
  <c r="I40" i="42"/>
  <c r="K40" i="42" s="1"/>
  <c r="H40" i="42"/>
  <c r="L40" i="42" s="1"/>
  <c r="G40" i="42"/>
  <c r="F40" i="42"/>
  <c r="E40" i="42"/>
  <c r="M39" i="42"/>
  <c r="G39" i="42"/>
  <c r="J39" i="42" s="1"/>
  <c r="F39" i="42"/>
  <c r="E39" i="42"/>
  <c r="H39" i="42" s="1"/>
  <c r="L39" i="42" s="1"/>
  <c r="M38" i="42"/>
  <c r="J38" i="42"/>
  <c r="G38" i="42"/>
  <c r="F38" i="42"/>
  <c r="E38" i="42"/>
  <c r="I38" i="42" s="1"/>
  <c r="K38" i="42" s="1"/>
  <c r="M37" i="42"/>
  <c r="G37" i="42"/>
  <c r="J37" i="42" s="1"/>
  <c r="F37" i="42"/>
  <c r="E37" i="42"/>
  <c r="I37" i="42" s="1"/>
  <c r="K37" i="42" s="1"/>
  <c r="M36" i="42"/>
  <c r="G36" i="42"/>
  <c r="J36" i="42" s="1"/>
  <c r="F36" i="42"/>
  <c r="E36" i="42"/>
  <c r="I36" i="42" s="1"/>
  <c r="K36" i="42" s="1"/>
  <c r="M35" i="42"/>
  <c r="G35" i="42"/>
  <c r="J35" i="42" s="1"/>
  <c r="F35" i="42"/>
  <c r="F42" i="42" s="1"/>
  <c r="E35" i="42"/>
  <c r="E42" i="42" s="1"/>
  <c r="M34" i="42"/>
  <c r="G34" i="42"/>
  <c r="J34" i="42" s="1"/>
  <c r="F34" i="42"/>
  <c r="E34" i="42"/>
  <c r="I34" i="42" s="1"/>
  <c r="K34" i="42" s="1"/>
  <c r="M33" i="42"/>
  <c r="I33" i="42"/>
  <c r="G33" i="42"/>
  <c r="G42" i="42" s="1"/>
  <c r="F33" i="42"/>
  <c r="E33" i="42"/>
  <c r="M32" i="42"/>
  <c r="G32" i="42"/>
  <c r="J32" i="42" s="1"/>
  <c r="F32" i="42"/>
  <c r="E32" i="42"/>
  <c r="H32" i="42" s="1"/>
  <c r="L32" i="42" s="1"/>
  <c r="M31" i="42"/>
  <c r="J31" i="42"/>
  <c r="I31" i="42"/>
  <c r="K31" i="42" s="1"/>
  <c r="G31" i="42"/>
  <c r="F31" i="42"/>
  <c r="E31" i="42"/>
  <c r="H31" i="42" s="1"/>
  <c r="L31" i="42" s="1"/>
  <c r="M30" i="42"/>
  <c r="M42" i="42" s="1"/>
  <c r="B68" i="42" s="1"/>
  <c r="E68" i="42" s="1"/>
  <c r="G30" i="42"/>
  <c r="J30" i="42" s="1"/>
  <c r="F30" i="42"/>
  <c r="E30" i="42"/>
  <c r="H30" i="42" s="1"/>
  <c r="P18" i="42"/>
  <c r="O18" i="42"/>
  <c r="N18" i="42"/>
  <c r="M18" i="42"/>
  <c r="L18" i="42"/>
  <c r="K18" i="42"/>
  <c r="J18" i="42"/>
  <c r="I18" i="42"/>
  <c r="H18" i="42"/>
  <c r="G18" i="42"/>
  <c r="F18" i="42"/>
  <c r="E18" i="42"/>
  <c r="D18" i="42"/>
  <c r="C18" i="42"/>
  <c r="B18" i="42"/>
  <c r="A18" i="42"/>
  <c r="G15" i="42"/>
  <c r="B65" i="42" s="1"/>
  <c r="E65" i="42" s="1"/>
  <c r="G13" i="42"/>
  <c r="G12" i="42"/>
  <c r="B11" i="42"/>
  <c r="G9" i="42"/>
  <c r="B66" i="42" s="1"/>
  <c r="E66" i="42" s="1"/>
  <c r="G7" i="42"/>
  <c r="G6" i="42"/>
  <c r="G10" i="42" s="1"/>
  <c r="A3" i="42"/>
  <c r="M19" i="45" l="1"/>
  <c r="M9" i="45"/>
  <c r="L9" i="45"/>
  <c r="M10" i="45"/>
  <c r="E89" i="45"/>
  <c r="C101" i="45" s="1"/>
  <c r="F89" i="45"/>
  <c r="E92" i="45"/>
  <c r="C104" i="45" s="1"/>
  <c r="F92" i="45"/>
  <c r="E86" i="45"/>
  <c r="C98" i="45" s="1"/>
  <c r="F86" i="45"/>
  <c r="L15" i="45"/>
  <c r="M15" i="45"/>
  <c r="M14" i="45"/>
  <c r="E88" i="45"/>
  <c r="C100" i="45" s="1"/>
  <c r="F88" i="45"/>
  <c r="L16" i="45"/>
  <c r="M16" i="45"/>
  <c r="L11" i="45"/>
  <c r="M11" i="45"/>
  <c r="M5" i="45"/>
  <c r="L18" i="45"/>
  <c r="M18" i="45"/>
  <c r="L13" i="45"/>
  <c r="M13" i="45"/>
  <c r="J25" i="45"/>
  <c r="N25" i="45"/>
  <c r="K25" i="45"/>
  <c r="M25" i="45"/>
  <c r="L30" i="45"/>
  <c r="K24" i="45"/>
  <c r="M30" i="45"/>
  <c r="J24" i="45"/>
  <c r="J29" i="45"/>
  <c r="O24" i="45"/>
  <c r="M27" i="45"/>
  <c r="N29" i="45"/>
  <c r="N30" i="45"/>
  <c r="O30" i="45"/>
  <c r="K23" i="45"/>
  <c r="O23" i="45"/>
  <c r="O25" i="45"/>
  <c r="K27" i="45"/>
  <c r="L29" i="45"/>
  <c r="N27" i="45"/>
  <c r="L24" i="45"/>
  <c r="N23" i="45"/>
  <c r="J27" i="45"/>
  <c r="K29" i="45"/>
  <c r="L27" i="45"/>
  <c r="M29" i="45"/>
  <c r="O29" i="45"/>
  <c r="J31" i="45"/>
  <c r="K28" i="45"/>
  <c r="M24" i="45"/>
  <c r="N24" i="45"/>
  <c r="J28" i="45"/>
  <c r="M31" i="45"/>
  <c r="N26" i="45"/>
  <c r="O27" i="45"/>
  <c r="J30" i="45"/>
  <c r="M28" i="45"/>
  <c r="K26" i="45"/>
  <c r="K32" i="45"/>
  <c r="J32" i="45"/>
  <c r="M32" i="45"/>
  <c r="L25" i="45"/>
  <c r="M23" i="45"/>
  <c r="K31" i="45"/>
  <c r="O32" i="45"/>
  <c r="L26" i="45"/>
  <c r="L28" i="45"/>
  <c r="L23" i="45"/>
  <c r="N32" i="45"/>
  <c r="L31" i="45"/>
  <c r="M26" i="45"/>
  <c r="N31" i="45"/>
  <c r="K30" i="45"/>
  <c r="O26" i="45"/>
  <c r="O31" i="45"/>
  <c r="J26" i="45"/>
  <c r="L32" i="45"/>
  <c r="J23" i="45"/>
  <c r="O28" i="45"/>
  <c r="N28" i="45"/>
  <c r="L12" i="45"/>
  <c r="M12" i="45"/>
  <c r="L17" i="45"/>
  <c r="M17" i="45"/>
  <c r="N25" i="43"/>
  <c r="AD25" i="43" s="1"/>
  <c r="T17" i="43"/>
  <c r="U29" i="43"/>
  <c r="AA17" i="43"/>
  <c r="Z17" i="43"/>
  <c r="X17" i="43"/>
  <c r="D29" i="43"/>
  <c r="O29" i="43" s="1"/>
  <c r="Y17" i="43"/>
  <c r="W17" i="43"/>
  <c r="AE17" i="43"/>
  <c r="AD17" i="43"/>
  <c r="AC17" i="43"/>
  <c r="AB17" i="43"/>
  <c r="V17" i="43"/>
  <c r="U17" i="43"/>
  <c r="E5" i="43"/>
  <c r="H1" i="43" s="1"/>
  <c r="B33" i="43"/>
  <c r="N26" i="43"/>
  <c r="AD26" i="43" s="1"/>
  <c r="N28" i="43"/>
  <c r="AD28" i="43" s="1"/>
  <c r="N27" i="43"/>
  <c r="AD27" i="43" s="1"/>
  <c r="N21" i="43"/>
  <c r="AD21" i="43" s="1"/>
  <c r="L18" i="43"/>
  <c r="F29" i="43"/>
  <c r="M18" i="43"/>
  <c r="L29" i="43"/>
  <c r="N19" i="43"/>
  <c r="AD19" i="43" s="1"/>
  <c r="N23" i="43"/>
  <c r="B63" i="42"/>
  <c r="E63" i="42" s="1"/>
  <c r="L30" i="42"/>
  <c r="H35" i="42"/>
  <c r="L35" i="42" s="1"/>
  <c r="I35" i="42"/>
  <c r="K35" i="42" s="1"/>
  <c r="I30" i="42"/>
  <c r="H34" i="42"/>
  <c r="L34" i="42" s="1"/>
  <c r="I41" i="42"/>
  <c r="K41" i="42" s="1"/>
  <c r="I39" i="42"/>
  <c r="K39" i="42" s="1"/>
  <c r="I32" i="42"/>
  <c r="K32" i="42" s="1"/>
  <c r="H36" i="42"/>
  <c r="L36" i="42" s="1"/>
  <c r="H33" i="42"/>
  <c r="L33" i="42" s="1"/>
  <c r="J33" i="42"/>
  <c r="J42" i="42" s="1"/>
  <c r="H37" i="42"/>
  <c r="L37" i="42" s="1"/>
  <c r="H38" i="42"/>
  <c r="L38" i="42" s="1"/>
  <c r="G8" i="42"/>
  <c r="S84" i="39"/>
  <c r="R84" i="39"/>
  <c r="Q84" i="39"/>
  <c r="P84" i="39"/>
  <c r="O84" i="39"/>
  <c r="T240" i="39"/>
  <c r="S240" i="39"/>
  <c r="R240" i="39"/>
  <c r="Q240" i="39"/>
  <c r="P240" i="39"/>
  <c r="O240" i="39"/>
  <c r="N240" i="39"/>
  <c r="H242" i="39"/>
  <c r="G242" i="39"/>
  <c r="F242" i="39"/>
  <c r="E242" i="39"/>
  <c r="D242" i="39"/>
  <c r="C242" i="39"/>
  <c r="K230" i="39"/>
  <c r="J230" i="39"/>
  <c r="I230" i="39"/>
  <c r="H230" i="39"/>
  <c r="G230" i="39"/>
  <c r="F230" i="39"/>
  <c r="E230" i="39"/>
  <c r="D230" i="39"/>
  <c r="C230" i="39"/>
  <c r="K216" i="39"/>
  <c r="J216" i="39"/>
  <c r="I216" i="39"/>
  <c r="H216" i="39"/>
  <c r="G216" i="39"/>
  <c r="F216" i="39"/>
  <c r="E216" i="39"/>
  <c r="D216" i="39"/>
  <c r="C216" i="39"/>
  <c r="H201" i="39"/>
  <c r="G201" i="39"/>
  <c r="F201" i="39"/>
  <c r="E201" i="39"/>
  <c r="D201" i="39"/>
  <c r="C201" i="39"/>
  <c r="H165" i="39"/>
  <c r="G165" i="39"/>
  <c r="F165" i="39"/>
  <c r="E165" i="39"/>
  <c r="D165" i="39"/>
  <c r="C165" i="39"/>
  <c r="H134" i="39"/>
  <c r="G134" i="39"/>
  <c r="F134" i="39"/>
  <c r="E134" i="39"/>
  <c r="D134" i="39"/>
  <c r="C134" i="39"/>
  <c r="P69" i="39"/>
  <c r="O69" i="39"/>
  <c r="N69" i="39"/>
  <c r="M69" i="39"/>
  <c r="L69" i="39"/>
  <c r="K69" i="39"/>
  <c r="J69" i="39"/>
  <c r="AZ2" i="39"/>
  <c r="AY2" i="39"/>
  <c r="AX2" i="39"/>
  <c r="AW2" i="39"/>
  <c r="AV2" i="39"/>
  <c r="AU2" i="39"/>
  <c r="AT2" i="39"/>
  <c r="AS2" i="39"/>
  <c r="AR2" i="39"/>
  <c r="AQ2" i="39"/>
  <c r="AP2" i="39"/>
  <c r="AO2" i="39"/>
  <c r="AN2" i="39"/>
  <c r="AM2" i="39"/>
  <c r="AL2" i="39"/>
  <c r="AJ2" i="39"/>
  <c r="AI2" i="39"/>
  <c r="AH2" i="39"/>
  <c r="AG2" i="39"/>
  <c r="AF2" i="39"/>
  <c r="AE2" i="39"/>
  <c r="AD2" i="39"/>
  <c r="AC2" i="39"/>
  <c r="AB2" i="39"/>
  <c r="AA2" i="39"/>
  <c r="Z2" i="39"/>
  <c r="Y2" i="39"/>
  <c r="X2" i="39"/>
  <c r="W2" i="39"/>
  <c r="V2" i="39"/>
  <c r="T2" i="39"/>
  <c r="S2" i="39"/>
  <c r="R2" i="39"/>
  <c r="Q2" i="39"/>
  <c r="P2" i="39"/>
  <c r="O2" i="39"/>
  <c r="N2" i="39"/>
  <c r="M2" i="39"/>
  <c r="L2" i="39"/>
  <c r="K2" i="39"/>
  <c r="J2" i="39"/>
  <c r="I2" i="39"/>
  <c r="H2" i="39"/>
  <c r="G2" i="39"/>
  <c r="F2" i="39"/>
  <c r="E2" i="39"/>
  <c r="D2" i="39"/>
  <c r="C2" i="39"/>
  <c r="E7" i="43" l="1"/>
  <c r="P29" i="43"/>
  <c r="J29" i="43"/>
  <c r="N18" i="43"/>
  <c r="M29" i="43"/>
  <c r="K29" i="43" s="1"/>
  <c r="AA29" i="43"/>
  <c r="E12" i="43"/>
  <c r="Z29" i="43"/>
  <c r="K33" i="42"/>
  <c r="H42" i="42"/>
  <c r="B62" i="42"/>
  <c r="E62" i="42" s="1"/>
  <c r="G11" i="42"/>
  <c r="G16" i="42"/>
  <c r="I42" i="42"/>
  <c r="K30" i="42"/>
  <c r="K42" i="42" s="1"/>
  <c r="L42" i="42"/>
  <c r="BD244" i="39"/>
  <c r="BC5" i="39" s="1"/>
  <c r="G239" i="39"/>
  <c r="H239" i="39" s="1"/>
  <c r="G238" i="39"/>
  <c r="H238" i="39" s="1"/>
  <c r="G237" i="39"/>
  <c r="H237" i="39" s="1"/>
  <c r="G236" i="39"/>
  <c r="H236" i="39" s="1"/>
  <c r="R235" i="39"/>
  <c r="T235" i="39" s="1"/>
  <c r="G235" i="39"/>
  <c r="H235" i="39" s="1"/>
  <c r="D235" i="39"/>
  <c r="R234" i="39"/>
  <c r="T234" i="39" s="1"/>
  <c r="R233" i="39"/>
  <c r="T233" i="39" s="1"/>
  <c r="C233" i="39"/>
  <c r="R232" i="39"/>
  <c r="T232" i="39" s="1"/>
  <c r="R231" i="39"/>
  <c r="T231" i="39" s="1"/>
  <c r="R230" i="39"/>
  <c r="T230" i="39" s="1"/>
  <c r="R229" i="39"/>
  <c r="T229" i="39" s="1"/>
  <c r="R228" i="39"/>
  <c r="T228" i="39" s="1"/>
  <c r="R227" i="39"/>
  <c r="T227" i="39" s="1"/>
  <c r="H227" i="39"/>
  <c r="R226" i="39"/>
  <c r="T226" i="39" s="1"/>
  <c r="K226" i="39"/>
  <c r="K227" i="39" s="1"/>
  <c r="H226" i="39"/>
  <c r="E226" i="39"/>
  <c r="E227" i="39" s="1"/>
  <c r="N225" i="39"/>
  <c r="T222" i="39" s="1"/>
  <c r="K223" i="39"/>
  <c r="K222" i="39" s="1"/>
  <c r="O222" i="39"/>
  <c r="H222" i="39"/>
  <c r="H223" i="39" s="1"/>
  <c r="E222" i="39"/>
  <c r="E223" i="39" s="1"/>
  <c r="N219" i="39"/>
  <c r="C219" i="39"/>
  <c r="L213" i="39"/>
  <c r="H213" i="39"/>
  <c r="H212" i="39" s="1"/>
  <c r="L212" i="39"/>
  <c r="K212" i="39"/>
  <c r="K213" i="39" s="1"/>
  <c r="E212" i="39"/>
  <c r="E213" i="39" s="1"/>
  <c r="L208" i="39"/>
  <c r="H208" i="39"/>
  <c r="E208" i="39"/>
  <c r="L207" i="39"/>
  <c r="K207" i="39"/>
  <c r="K208" i="39" s="1"/>
  <c r="H207" i="39"/>
  <c r="E207" i="39"/>
  <c r="C204" i="39"/>
  <c r="E198" i="39"/>
  <c r="G187" i="39"/>
  <c r="F184" i="39"/>
  <c r="C172" i="39" s="1"/>
  <c r="E184" i="39"/>
  <c r="D172" i="39" s="1"/>
  <c r="G182" i="39"/>
  <c r="E185" i="39" s="1"/>
  <c r="F172" i="39" s="1"/>
  <c r="F182" i="39"/>
  <c r="D179" i="39"/>
  <c r="F178" i="39"/>
  <c r="H178" i="39" s="1"/>
  <c r="F177" i="39"/>
  <c r="E171" i="39" s="1"/>
  <c r="H171" i="39" s="1"/>
  <c r="F170" i="39"/>
  <c r="C169" i="39"/>
  <c r="G168" i="39"/>
  <c r="H167" i="39"/>
  <c r="H162" i="39"/>
  <c r="I152" i="39"/>
  <c r="I151" i="39"/>
  <c r="G151" i="39"/>
  <c r="J152" i="39" s="1"/>
  <c r="M150" i="39"/>
  <c r="I150" i="39"/>
  <c r="F150" i="39"/>
  <c r="E150" i="39"/>
  <c r="E151" i="39" s="1"/>
  <c r="J151" i="39" s="1"/>
  <c r="I148" i="39"/>
  <c r="I147" i="39"/>
  <c r="G147" i="39"/>
  <c r="G150" i="39" s="1"/>
  <c r="F147" i="39"/>
  <c r="H147" i="39" s="1"/>
  <c r="I145" i="39"/>
  <c r="H145" i="39"/>
  <c r="G145" i="39"/>
  <c r="J145" i="39" s="1"/>
  <c r="I144" i="39"/>
  <c r="G144" i="39"/>
  <c r="J144" i="39" s="1"/>
  <c r="I142" i="39"/>
  <c r="I141" i="39"/>
  <c r="I140" i="39"/>
  <c r="I139" i="39"/>
  <c r="C139" i="39"/>
  <c r="I138" i="39"/>
  <c r="G138" i="39"/>
  <c r="J138" i="39" s="1"/>
  <c r="H137" i="39"/>
  <c r="H131" i="39"/>
  <c r="I121" i="39"/>
  <c r="I120" i="39"/>
  <c r="G120" i="39"/>
  <c r="J121" i="39" s="1"/>
  <c r="I119" i="39"/>
  <c r="F119" i="39"/>
  <c r="E119" i="39"/>
  <c r="E120" i="39" s="1"/>
  <c r="J120" i="39" s="1"/>
  <c r="I116" i="39"/>
  <c r="F116" i="39"/>
  <c r="E114" i="39" s="1"/>
  <c r="I114" i="39"/>
  <c r="I113" i="39"/>
  <c r="G113" i="39"/>
  <c r="J113" i="39" s="1"/>
  <c r="I111" i="39"/>
  <c r="I110" i="39"/>
  <c r="I109" i="39"/>
  <c r="I108" i="39"/>
  <c r="C108" i="39"/>
  <c r="I107" i="39"/>
  <c r="G107" i="39"/>
  <c r="J107" i="39" s="1"/>
  <c r="I106" i="39"/>
  <c r="I103" i="39"/>
  <c r="C82" i="39"/>
  <c r="C80" i="39"/>
  <c r="R79" i="39"/>
  <c r="C78" i="39"/>
  <c r="C66" i="39"/>
  <c r="C63" i="39"/>
  <c r="C60" i="39"/>
  <c r="O58" i="39"/>
  <c r="O57" i="39"/>
  <c r="C57" i="39"/>
  <c r="O56" i="39"/>
  <c r="O55" i="39"/>
  <c r="C54" i="39"/>
  <c r="P52" i="39"/>
  <c r="P51" i="39"/>
  <c r="C51" i="39"/>
  <c r="D43" i="39"/>
  <c r="C43" i="39"/>
  <c r="E69" i="39" s="1"/>
  <c r="B43" i="39"/>
  <c r="D29" i="39"/>
  <c r="BE7" i="39"/>
  <c r="BE6" i="39"/>
  <c r="BF1" i="39"/>
  <c r="BE1" i="39"/>
  <c r="AZ1" i="39"/>
  <c r="AY1" i="39"/>
  <c r="AX1" i="39"/>
  <c r="AW1" i="39"/>
  <c r="AV1" i="39"/>
  <c r="AU1" i="39"/>
  <c r="AT1" i="39"/>
  <c r="AS1" i="39"/>
  <c r="AR1" i="39"/>
  <c r="AQ1" i="39"/>
  <c r="AP1" i="39"/>
  <c r="AO1" i="39"/>
  <c r="AN1" i="39"/>
  <c r="AM1" i="39"/>
  <c r="AL1" i="39"/>
  <c r="AJ1" i="39"/>
  <c r="AI1" i="39"/>
  <c r="AH1" i="39"/>
  <c r="AG1" i="39"/>
  <c r="AF1" i="39"/>
  <c r="AE1" i="39"/>
  <c r="AD1" i="39"/>
  <c r="AC1" i="39"/>
  <c r="AB1" i="39"/>
  <c r="AA1" i="39"/>
  <c r="Z1" i="39"/>
  <c r="Y1" i="39"/>
  <c r="X1" i="39"/>
  <c r="W1" i="39"/>
  <c r="V1" i="39"/>
  <c r="T1" i="39"/>
  <c r="S1" i="39"/>
  <c r="R1" i="39"/>
  <c r="Q1" i="39"/>
  <c r="P1" i="39"/>
  <c r="O1" i="39"/>
  <c r="N1" i="39"/>
  <c r="M1" i="39"/>
  <c r="L1" i="39"/>
  <c r="K1" i="39"/>
  <c r="J1" i="39"/>
  <c r="I1" i="39"/>
  <c r="H1" i="39"/>
  <c r="G1" i="39"/>
  <c r="F1" i="39"/>
  <c r="E1" i="39"/>
  <c r="D1" i="39"/>
  <c r="C1" i="39"/>
  <c r="A1" i="39"/>
  <c r="J103" i="39"/>
  <c r="D51" i="39"/>
  <c r="D80" i="39"/>
  <c r="D54" i="39"/>
  <c r="K114" i="39"/>
  <c r="P56" i="39"/>
  <c r="D63" i="39"/>
  <c r="K109" i="39"/>
  <c r="N150" i="39"/>
  <c r="K148" i="39"/>
  <c r="D82" i="39"/>
  <c r="M207" i="39"/>
  <c r="K138" i="39"/>
  <c r="K119" i="39"/>
  <c r="K120" i="39"/>
  <c r="Q51" i="39"/>
  <c r="K145" i="39"/>
  <c r="J104" i="39"/>
  <c r="K116" i="39"/>
  <c r="K140" i="39"/>
  <c r="K113" i="39"/>
  <c r="K108" i="39"/>
  <c r="K110" i="39"/>
  <c r="D66" i="39"/>
  <c r="K107" i="39"/>
  <c r="K111" i="39"/>
  <c r="K150" i="39"/>
  <c r="D60" i="39"/>
  <c r="K147" i="39"/>
  <c r="P57" i="39"/>
  <c r="K139" i="39"/>
  <c r="K152" i="39"/>
  <c r="K144" i="39"/>
  <c r="D57" i="39"/>
  <c r="P58" i="39"/>
  <c r="K141" i="39"/>
  <c r="E43" i="39"/>
  <c r="K142" i="39"/>
  <c r="K151" i="39"/>
  <c r="M212" i="39"/>
  <c r="K121" i="39"/>
  <c r="M213" i="39"/>
  <c r="D78" i="39"/>
  <c r="M208" i="39"/>
  <c r="Q52" i="39"/>
  <c r="AD18" i="43" l="1"/>
  <c r="N29" i="43"/>
  <c r="AD29" i="43"/>
  <c r="B36" i="43"/>
  <c r="E13" i="43"/>
  <c r="AB29" i="43"/>
  <c r="B64" i="42"/>
  <c r="E64" i="42" s="1"/>
  <c r="G14" i="42"/>
  <c r="J119" i="39"/>
  <c r="J147" i="39"/>
  <c r="H182" i="39"/>
  <c r="E172" i="39" s="1"/>
  <c r="E140" i="39"/>
  <c r="J139" i="39" s="1"/>
  <c r="G178" i="39"/>
  <c r="G183" i="39" s="1"/>
  <c r="E186" i="39" s="1"/>
  <c r="H172" i="39" s="1"/>
  <c r="E170" i="39"/>
  <c r="E187" i="39" s="1"/>
  <c r="F185" i="39"/>
  <c r="E109" i="39"/>
  <c r="F109" i="39" s="1"/>
  <c r="J150" i="39"/>
  <c r="C171" i="39"/>
  <c r="H150" i="39"/>
  <c r="J148" i="39"/>
  <c r="H144" i="39"/>
  <c r="T225" i="39"/>
  <c r="F186" i="39"/>
  <c r="H183" i="39"/>
  <c r="G172" i="39" s="1"/>
  <c r="J114" i="39"/>
  <c r="H106" i="39"/>
  <c r="G116" i="39"/>
  <c r="H116" i="39"/>
  <c r="BF3" i="39"/>
  <c r="P222" i="39"/>
  <c r="B35" i="43" l="1"/>
  <c r="E11" i="43"/>
  <c r="F140" i="39"/>
  <c r="H140" i="39" s="1"/>
  <c r="J142" i="39" s="1"/>
  <c r="D171" i="39"/>
  <c r="G171" i="39" s="1"/>
  <c r="F171" i="39" s="1"/>
  <c r="J108" i="39"/>
  <c r="G119" i="39"/>
  <c r="J116" i="39"/>
  <c r="H119" i="39"/>
  <c r="H113" i="39"/>
  <c r="I104" i="39" s="1"/>
  <c r="H109" i="39"/>
  <c r="J111" i="39" s="1"/>
  <c r="J109" i="39"/>
  <c r="G140" i="39" l="1"/>
  <c r="J141" i="39" s="1"/>
  <c r="J140" i="39"/>
  <c r="G109" i="39"/>
  <c r="J110" i="39" s="1"/>
  <c r="BE3" i="39" l="1"/>
  <c r="BE5" i="39"/>
  <c r="BE4" i="39"/>
  <c r="G28" i="13" l="1"/>
  <c r="G23" i="13"/>
  <c r="L16" i="13"/>
  <c r="K16" i="13"/>
  <c r="N16" i="13" s="1"/>
  <c r="G16" i="13"/>
  <c r="H456" i="32"/>
  <c r="H451" i="32"/>
  <c r="H446" i="32"/>
  <c r="H441" i="32"/>
  <c r="H436" i="32"/>
  <c r="H431" i="32"/>
  <c r="H426" i="32"/>
  <c r="H421" i="32"/>
  <c r="H416" i="32"/>
  <c r="H411" i="32"/>
  <c r="H406" i="32"/>
  <c r="H398" i="32"/>
  <c r="H393" i="32"/>
  <c r="H388" i="32"/>
  <c r="H383" i="32"/>
  <c r="H378" i="32"/>
  <c r="H373" i="32"/>
  <c r="H368" i="32"/>
  <c r="H363" i="32"/>
  <c r="H358" i="32"/>
  <c r="H353" i="32"/>
  <c r="H348" i="32"/>
  <c r="H343" i="32"/>
  <c r="H338" i="32"/>
  <c r="H333" i="32"/>
  <c r="H328" i="32"/>
  <c r="H323" i="32"/>
  <c r="H318" i="32"/>
  <c r="H313" i="32"/>
  <c r="H308" i="32"/>
  <c r="H303" i="32"/>
  <c r="H298" i="32"/>
  <c r="H293" i="32"/>
  <c r="H288" i="32"/>
  <c r="H283" i="32"/>
  <c r="H278" i="32"/>
  <c r="H273" i="32"/>
  <c r="H268" i="32"/>
  <c r="H263" i="32"/>
  <c r="H258" i="32"/>
  <c r="H253" i="32"/>
  <c r="H248" i="32"/>
  <c r="H243" i="32"/>
  <c r="H238" i="32"/>
  <c r="H233" i="32"/>
  <c r="H228" i="32"/>
  <c r="H223" i="32"/>
  <c r="H198" i="32"/>
  <c r="H193" i="32"/>
  <c r="H188" i="32"/>
  <c r="H183" i="32"/>
  <c r="H178" i="32"/>
  <c r="H173" i="32"/>
  <c r="H168" i="32"/>
  <c r="H163" i="32"/>
  <c r="H138" i="32"/>
  <c r="H133" i="32"/>
  <c r="H128" i="32"/>
  <c r="H123" i="32"/>
  <c r="H118" i="32"/>
  <c r="H113" i="32"/>
  <c r="H108" i="32"/>
  <c r="H103" i="32"/>
  <c r="H98" i="32"/>
  <c r="H93" i="32"/>
  <c r="H88" i="32"/>
  <c r="H83" i="32"/>
  <c r="H78" i="32"/>
  <c r="H73" i="32"/>
  <c r="H68" i="32"/>
  <c r="H63" i="32"/>
  <c r="H58" i="32"/>
  <c r="H53" i="32"/>
  <c r="H48" i="32"/>
  <c r="H43" i="32"/>
  <c r="H38" i="32"/>
  <c r="H33" i="32"/>
  <c r="H28" i="32"/>
  <c r="H23" i="32"/>
  <c r="H18" i="32"/>
  <c r="H13" i="32"/>
  <c r="H8" i="32"/>
  <c r="H3" i="32"/>
  <c r="H503" i="36"/>
  <c r="H502" i="36"/>
  <c r="H501" i="36"/>
  <c r="H500" i="36"/>
  <c r="H499" i="36"/>
  <c r="H498" i="36"/>
  <c r="H497" i="36"/>
  <c r="H496" i="36"/>
  <c r="H495" i="36"/>
  <c r="H494" i="36"/>
  <c r="H493" i="36"/>
  <c r="H492" i="36"/>
  <c r="H491" i="36"/>
  <c r="H490" i="36"/>
  <c r="H489" i="36"/>
  <c r="H488" i="36"/>
  <c r="H487" i="36"/>
  <c r="H486" i="36"/>
  <c r="H485" i="36"/>
  <c r="H484" i="36"/>
  <c r="H483" i="36"/>
  <c r="H482" i="36"/>
  <c r="H481" i="36"/>
  <c r="H480" i="36"/>
  <c r="H479" i="36"/>
  <c r="H478" i="36"/>
  <c r="H477" i="36"/>
  <c r="H476" i="36"/>
  <c r="H475" i="36"/>
  <c r="H474" i="36"/>
  <c r="H473" i="36"/>
  <c r="H472" i="36"/>
  <c r="H471" i="36"/>
  <c r="H470" i="36"/>
  <c r="H469" i="36"/>
  <c r="H468" i="36"/>
  <c r="H467" i="36"/>
  <c r="H466" i="36"/>
  <c r="H465" i="36"/>
  <c r="H464" i="36"/>
  <c r="H463" i="36"/>
  <c r="H462" i="36"/>
  <c r="H461" i="36"/>
  <c r="H460" i="36"/>
  <c r="H459" i="36"/>
  <c r="H458" i="36"/>
  <c r="H457" i="36"/>
  <c r="H456" i="36"/>
  <c r="H455" i="36"/>
  <c r="H454" i="36"/>
  <c r="H453" i="36"/>
  <c r="H452" i="36"/>
  <c r="H451" i="36"/>
  <c r="H450" i="36"/>
  <c r="H449" i="36"/>
  <c r="H448" i="36"/>
  <c r="H447" i="36"/>
  <c r="H446" i="36"/>
  <c r="H445" i="36"/>
  <c r="H444" i="36"/>
  <c r="H443" i="36"/>
  <c r="H442" i="36"/>
  <c r="H441" i="36"/>
  <c r="H440" i="36"/>
  <c r="H439" i="36"/>
  <c r="H438" i="36"/>
  <c r="H437" i="36"/>
  <c r="H436" i="36"/>
  <c r="H435" i="36"/>
  <c r="H434" i="36"/>
  <c r="H433" i="36"/>
  <c r="H432" i="36"/>
  <c r="H431" i="36"/>
  <c r="H430" i="36"/>
  <c r="H429" i="36"/>
  <c r="H428" i="36"/>
  <c r="H427" i="36"/>
  <c r="H426" i="36"/>
  <c r="H425" i="36"/>
  <c r="H424" i="36"/>
  <c r="H423" i="36"/>
  <c r="H422" i="36"/>
  <c r="H421" i="36"/>
  <c r="H420" i="36"/>
  <c r="H419" i="36"/>
  <c r="H418" i="36"/>
  <c r="H417" i="36"/>
  <c r="H416" i="36"/>
  <c r="H415" i="36"/>
  <c r="H414" i="36"/>
  <c r="H413" i="36"/>
  <c r="H412" i="36"/>
  <c r="H411" i="36"/>
  <c r="H410" i="36"/>
  <c r="H409" i="36"/>
  <c r="H408" i="36"/>
  <c r="H407" i="36"/>
  <c r="H406" i="36"/>
  <c r="H405" i="36"/>
  <c r="H404" i="36"/>
  <c r="H403" i="36"/>
  <c r="H402" i="36"/>
  <c r="H401" i="36"/>
  <c r="H400" i="36"/>
  <c r="H399" i="36"/>
  <c r="H398" i="36"/>
  <c r="H397" i="36"/>
  <c r="H396" i="36"/>
  <c r="H395" i="36"/>
  <c r="H394" i="36"/>
  <c r="H393" i="36"/>
  <c r="H392" i="36"/>
  <c r="H391" i="36"/>
  <c r="H390" i="36"/>
  <c r="H389" i="36"/>
  <c r="H388" i="36"/>
  <c r="H387" i="36"/>
  <c r="H386" i="36"/>
  <c r="H385" i="36"/>
  <c r="H384" i="36"/>
  <c r="H383" i="36"/>
  <c r="H382" i="36"/>
  <c r="H381" i="36"/>
  <c r="H380" i="36"/>
  <c r="H379" i="36"/>
  <c r="H378" i="36"/>
  <c r="H377" i="36"/>
  <c r="H376" i="36"/>
  <c r="H375" i="36"/>
  <c r="H374" i="36"/>
  <c r="H373" i="36"/>
  <c r="H372" i="36"/>
  <c r="H371" i="36"/>
  <c r="H370" i="36"/>
  <c r="H369" i="36"/>
  <c r="H368" i="36"/>
  <c r="H367" i="36"/>
  <c r="H366" i="36"/>
  <c r="H365" i="36"/>
  <c r="H364" i="36"/>
  <c r="H363" i="36"/>
  <c r="H362" i="36"/>
  <c r="H361" i="36"/>
  <c r="H360" i="36"/>
  <c r="H359" i="36"/>
  <c r="H358" i="36"/>
  <c r="H357" i="36"/>
  <c r="H356" i="36"/>
  <c r="H355" i="36"/>
  <c r="H354" i="36"/>
  <c r="H353" i="36"/>
  <c r="H352" i="36"/>
  <c r="H351" i="36"/>
  <c r="H350" i="36"/>
  <c r="H349" i="36"/>
  <c r="H348" i="36"/>
  <c r="H347" i="36"/>
  <c r="H346" i="36"/>
  <c r="H345" i="36"/>
  <c r="H344" i="36"/>
  <c r="H343" i="36"/>
  <c r="H342" i="36"/>
  <c r="H341" i="36"/>
  <c r="H340" i="36"/>
  <c r="H339" i="36"/>
  <c r="H338" i="36"/>
  <c r="H337" i="36"/>
  <c r="H336" i="36"/>
  <c r="H335" i="36"/>
  <c r="H334" i="36"/>
  <c r="H333" i="36"/>
  <c r="H332" i="36"/>
  <c r="H331" i="36"/>
  <c r="H330" i="36"/>
  <c r="H329" i="36"/>
  <c r="H328" i="36"/>
  <c r="H327" i="36"/>
  <c r="H326" i="36"/>
  <c r="H325" i="36"/>
  <c r="H324" i="36"/>
  <c r="H323" i="36"/>
  <c r="H322" i="36"/>
  <c r="H321" i="36"/>
  <c r="H320" i="36"/>
  <c r="H319" i="36"/>
  <c r="H318" i="36"/>
  <c r="H317" i="36"/>
  <c r="H316" i="36"/>
  <c r="H315" i="36"/>
  <c r="H314" i="36"/>
  <c r="H313" i="36"/>
  <c r="H312" i="36"/>
  <c r="H311" i="36"/>
  <c r="H310" i="36"/>
  <c r="H309" i="36"/>
  <c r="H308" i="36"/>
  <c r="H307" i="36"/>
  <c r="H306" i="36"/>
  <c r="H305" i="36"/>
  <c r="H304" i="36"/>
  <c r="H303" i="36"/>
  <c r="H302" i="36"/>
  <c r="H301" i="36"/>
  <c r="H300" i="36"/>
  <c r="H299" i="36"/>
  <c r="H298" i="36"/>
  <c r="H297" i="36"/>
  <c r="H296" i="36"/>
  <c r="H295" i="36"/>
  <c r="H294" i="36"/>
  <c r="H293" i="36"/>
  <c r="H292" i="36"/>
  <c r="H291" i="36"/>
  <c r="H290" i="36"/>
  <c r="H289" i="36"/>
  <c r="H288" i="36"/>
  <c r="H287" i="36"/>
  <c r="H286" i="36"/>
  <c r="H285" i="36"/>
  <c r="H284" i="36"/>
  <c r="H283" i="36"/>
  <c r="H282" i="36"/>
  <c r="H281" i="36"/>
  <c r="H280" i="36"/>
  <c r="H279" i="36"/>
  <c r="H278" i="36"/>
  <c r="H277" i="36"/>
  <c r="H276" i="36"/>
  <c r="H275" i="36"/>
  <c r="H274" i="36"/>
  <c r="H273" i="36"/>
  <c r="H272" i="36"/>
  <c r="H271" i="36"/>
  <c r="H270" i="36"/>
  <c r="H269" i="36"/>
  <c r="H268" i="36"/>
  <c r="H267" i="36"/>
  <c r="H266" i="36"/>
  <c r="H265" i="36"/>
  <c r="H264" i="36"/>
  <c r="H263" i="36"/>
  <c r="H262" i="36"/>
  <c r="H261" i="36"/>
  <c r="H260" i="36"/>
  <c r="H259" i="36"/>
  <c r="H258" i="36"/>
  <c r="H257" i="36"/>
  <c r="H256" i="36"/>
  <c r="H255" i="36"/>
  <c r="H254" i="36"/>
  <c r="H253" i="36"/>
  <c r="H252" i="36"/>
  <c r="H251" i="36"/>
  <c r="H250" i="36"/>
  <c r="H249" i="36"/>
  <c r="H248" i="36"/>
  <c r="H247" i="36"/>
  <c r="H246" i="36"/>
  <c r="H245" i="36"/>
  <c r="H244" i="36"/>
  <c r="H243" i="36"/>
  <c r="H242" i="36"/>
  <c r="H241" i="36"/>
  <c r="H240" i="36"/>
  <c r="H239" i="36"/>
  <c r="H238" i="36"/>
  <c r="H237" i="36"/>
  <c r="H236" i="36"/>
  <c r="H235" i="36"/>
  <c r="H234" i="36"/>
  <c r="H233" i="36"/>
  <c r="H232" i="36"/>
  <c r="H231" i="36"/>
  <c r="H230" i="36"/>
  <c r="H229" i="36"/>
  <c r="H228" i="36"/>
  <c r="H227" i="36"/>
  <c r="H226" i="36"/>
  <c r="H225" i="36"/>
  <c r="H224" i="36"/>
  <c r="H223" i="36"/>
  <c r="H222" i="36"/>
  <c r="H221" i="36"/>
  <c r="H220" i="36"/>
  <c r="H219" i="36"/>
  <c r="H218" i="36"/>
  <c r="H217" i="36"/>
  <c r="H216" i="36"/>
  <c r="H215" i="36"/>
  <c r="H214" i="36"/>
  <c r="H213" i="36"/>
  <c r="H212" i="36"/>
  <c r="H211" i="36"/>
  <c r="H210" i="36"/>
  <c r="H209" i="36"/>
  <c r="H208" i="36"/>
  <c r="H207" i="36"/>
  <c r="H206" i="36"/>
  <c r="H205" i="36"/>
  <c r="H204" i="36"/>
  <c r="H203" i="36"/>
  <c r="H202" i="36"/>
  <c r="H201" i="36"/>
  <c r="H200" i="36"/>
  <c r="H199" i="36"/>
  <c r="H198" i="36"/>
  <c r="H197" i="36"/>
  <c r="H196" i="36"/>
  <c r="H195" i="36"/>
  <c r="H194" i="36"/>
  <c r="H193" i="36"/>
  <c r="H192" i="36"/>
  <c r="H191" i="36"/>
  <c r="H190" i="36"/>
  <c r="H189" i="36"/>
  <c r="H188" i="36"/>
  <c r="H187" i="36"/>
  <c r="H186" i="36"/>
  <c r="H185" i="36"/>
  <c r="H184" i="36"/>
  <c r="H182" i="36"/>
  <c r="H181" i="36"/>
  <c r="H180" i="36"/>
  <c r="H179" i="36"/>
  <c r="H178" i="36"/>
  <c r="H177" i="36"/>
  <c r="H176" i="36"/>
  <c r="H175" i="36"/>
  <c r="H174" i="36"/>
  <c r="H173" i="36"/>
  <c r="H172" i="36"/>
  <c r="H171" i="36"/>
  <c r="H170" i="36"/>
  <c r="H169" i="36"/>
  <c r="H168" i="36"/>
  <c r="H167" i="36"/>
  <c r="H166" i="36"/>
  <c r="H165" i="36"/>
  <c r="H164" i="36"/>
  <c r="H163" i="36"/>
  <c r="H162" i="36"/>
  <c r="H161" i="36"/>
  <c r="H160" i="36"/>
  <c r="H159" i="36"/>
  <c r="H158" i="36"/>
  <c r="H157" i="36"/>
  <c r="H9" i="36"/>
  <c r="H156" i="36"/>
  <c r="H155" i="36"/>
  <c r="H154" i="36"/>
  <c r="H153" i="36"/>
  <c r="H152" i="36"/>
  <c r="H151" i="36"/>
  <c r="H150" i="36"/>
  <c r="H149" i="36"/>
  <c r="H148" i="36"/>
  <c r="H147" i="36"/>
  <c r="H146" i="36"/>
  <c r="H145" i="36"/>
  <c r="H144" i="36"/>
  <c r="H143" i="36"/>
  <c r="H142" i="36"/>
  <c r="H141" i="36"/>
  <c r="H140" i="36"/>
  <c r="H139" i="36"/>
  <c r="H138" i="36"/>
  <c r="H137" i="36"/>
  <c r="H136" i="36"/>
  <c r="H135" i="36"/>
  <c r="H134" i="36"/>
  <c r="H133" i="36"/>
  <c r="H132" i="36"/>
  <c r="H131" i="36"/>
  <c r="H130" i="36"/>
  <c r="H129" i="36"/>
  <c r="H128" i="36"/>
  <c r="H127" i="36"/>
  <c r="H126" i="36"/>
  <c r="H125" i="36"/>
  <c r="H124" i="36"/>
  <c r="H123" i="36"/>
  <c r="H122" i="36"/>
  <c r="H121" i="36"/>
  <c r="H120" i="36"/>
  <c r="H119" i="36"/>
  <c r="H118" i="36"/>
  <c r="H117" i="36"/>
  <c r="H116" i="36"/>
  <c r="H115" i="36"/>
  <c r="H114" i="36"/>
  <c r="H113" i="36"/>
  <c r="H112" i="36"/>
  <c r="H111" i="36"/>
  <c r="H110" i="36"/>
  <c r="H109" i="36"/>
  <c r="H108" i="36"/>
  <c r="H107" i="36"/>
  <c r="H106" i="36"/>
  <c r="H105" i="36"/>
  <c r="H104" i="36"/>
  <c r="H103" i="36"/>
  <c r="H102" i="36"/>
  <c r="H101" i="36"/>
  <c r="H100" i="36"/>
  <c r="H99" i="36"/>
  <c r="H98" i="36"/>
  <c r="H97" i="36"/>
  <c r="H96" i="36"/>
  <c r="H95" i="36"/>
  <c r="H94" i="36"/>
  <c r="H93" i="36"/>
  <c r="H92" i="36"/>
  <c r="H91" i="36"/>
  <c r="H90" i="36"/>
  <c r="H89" i="36"/>
  <c r="H88" i="36"/>
  <c r="H87" i="36"/>
  <c r="H86" i="36"/>
  <c r="H85" i="36"/>
  <c r="H84" i="36"/>
  <c r="H83" i="36"/>
  <c r="H82" i="36"/>
  <c r="H81" i="36"/>
  <c r="H80" i="36"/>
  <c r="H79" i="36"/>
  <c r="H78" i="36"/>
  <c r="H77" i="36"/>
  <c r="H76" i="36"/>
  <c r="H75" i="36"/>
  <c r="H74" i="36"/>
  <c r="H73" i="36"/>
  <c r="H72" i="36"/>
  <c r="H71" i="36"/>
  <c r="H70" i="36"/>
  <c r="H69" i="36"/>
  <c r="H68" i="36"/>
  <c r="H67" i="36"/>
  <c r="H66" i="36"/>
  <c r="H65" i="36"/>
  <c r="H64" i="36"/>
  <c r="H63" i="36"/>
  <c r="H62" i="36"/>
  <c r="H61" i="36"/>
  <c r="H60" i="36"/>
  <c r="H59" i="36"/>
  <c r="H58" i="36"/>
  <c r="H57" i="36"/>
  <c r="H56" i="36"/>
  <c r="H55" i="36"/>
  <c r="H54" i="36"/>
  <c r="H53" i="36"/>
  <c r="H52" i="36"/>
  <c r="H51" i="36"/>
  <c r="H50" i="36"/>
  <c r="H49" i="36"/>
  <c r="H48" i="36"/>
  <c r="H47" i="36"/>
  <c r="H46" i="36"/>
  <c r="H45" i="36"/>
  <c r="H44" i="36"/>
  <c r="H43" i="36"/>
  <c r="H42" i="36"/>
  <c r="H41" i="36"/>
  <c r="H40" i="36"/>
  <c r="H39" i="36"/>
  <c r="H38" i="36"/>
  <c r="H37" i="36"/>
  <c r="H36" i="36"/>
  <c r="H35" i="36"/>
  <c r="H34" i="36"/>
  <c r="H33" i="36"/>
  <c r="H32" i="36"/>
  <c r="H31" i="36"/>
  <c r="H30" i="36"/>
  <c r="H29" i="36"/>
  <c r="H28" i="36"/>
  <c r="H27" i="36"/>
  <c r="H26" i="36"/>
  <c r="H25" i="36"/>
  <c r="H24" i="36"/>
  <c r="H23" i="36"/>
  <c r="H22" i="36"/>
  <c r="H21" i="36"/>
  <c r="H20" i="36"/>
  <c r="H19" i="36"/>
  <c r="H18" i="36"/>
  <c r="H17" i="36"/>
  <c r="H16" i="36"/>
  <c r="H15" i="36"/>
  <c r="H14" i="36"/>
  <c r="H13" i="36"/>
  <c r="H12" i="36"/>
  <c r="H11" i="36"/>
  <c r="H10" i="36"/>
  <c r="E2" i="36"/>
  <c r="D2" i="36"/>
  <c r="C2" i="36"/>
  <c r="B2" i="36"/>
  <c r="E1" i="36"/>
  <c r="D1" i="36"/>
  <c r="C1" i="36"/>
  <c r="B1" i="36"/>
  <c r="M16" i="13" l="1"/>
  <c r="B19" i="22" l="1"/>
  <c r="J8" i="22" s="1"/>
  <c r="B18" i="22"/>
  <c r="R8" i="22" s="1"/>
  <c r="B17" i="22"/>
  <c r="R7" i="22" s="1"/>
  <c r="B16" i="22"/>
  <c r="R6" i="22" s="1"/>
  <c r="B14" i="22"/>
  <c r="B15" i="22" s="1"/>
  <c r="B13" i="22"/>
  <c r="N12" i="22"/>
  <c r="M12" i="22"/>
  <c r="B12" i="22"/>
  <c r="N11" i="22"/>
  <c r="M11" i="22"/>
  <c r="B11" i="22"/>
  <c r="N10" i="22"/>
  <c r="M10" i="22"/>
  <c r="B10" i="22"/>
  <c r="I8" i="22" s="1"/>
  <c r="N9" i="22"/>
  <c r="M9" i="22"/>
  <c r="B9" i="22"/>
  <c r="H8" i="22" s="1"/>
  <c r="N8" i="22"/>
  <c r="M8" i="22"/>
  <c r="B8" i="22"/>
  <c r="N7" i="22"/>
  <c r="M7" i="22"/>
  <c r="J7" i="22"/>
  <c r="I7" i="22"/>
  <c r="H7" i="22"/>
  <c r="G7" i="22"/>
  <c r="B7" i="22"/>
  <c r="N6" i="22"/>
  <c r="M6" i="22"/>
  <c r="J6" i="22"/>
  <c r="I6" i="22"/>
  <c r="H6" i="22"/>
  <c r="G6" i="22"/>
  <c r="B6" i="22"/>
  <c r="B20" i="22" s="1"/>
  <c r="R10" i="22" s="1"/>
  <c r="B17" i="20"/>
  <c r="J10" i="20" s="1"/>
  <c r="B15" i="20"/>
  <c r="J8" i="20" s="1"/>
  <c r="B14" i="20"/>
  <c r="J7" i="20" s="1"/>
  <c r="B13" i="20"/>
  <c r="J6" i="20" s="1"/>
  <c r="B10" i="20"/>
  <c r="G9" i="20" s="1"/>
  <c r="B9" i="20"/>
  <c r="G8" i="20" s="1"/>
  <c r="B8" i="20"/>
  <c r="B19" i="20" s="1"/>
  <c r="B7" i="20"/>
  <c r="B6" i="20"/>
  <c r="O7" i="22" l="1"/>
  <c r="R9" i="22"/>
  <c r="O9" i="22"/>
  <c r="O10" i="22"/>
  <c r="O6" i="22"/>
  <c r="O12" i="22"/>
  <c r="O8" i="22"/>
  <c r="O11" i="22"/>
  <c r="G8" i="22"/>
  <c r="G7" i="20"/>
  <c r="B11" i="20"/>
  <c r="B12" i="20" s="1"/>
  <c r="B20" i="20" s="1"/>
  <c r="G6" i="20"/>
  <c r="B18" i="20"/>
  <c r="J11" i="20" s="1"/>
  <c r="B16" i="20"/>
  <c r="G11" i="20" s="1"/>
  <c r="G10" i="20" l="1"/>
  <c r="B21" i="20"/>
  <c r="G12" i="20" s="1"/>
  <c r="C6" i="12" l="1"/>
  <c r="K19" i="12" s="1"/>
  <c r="C9" i="12" s="1"/>
  <c r="K13" i="12" l="1"/>
  <c r="K14" i="12"/>
  <c r="K15" i="12"/>
  <c r="K16" i="12"/>
  <c r="K17" i="12"/>
  <c r="K18" i="12"/>
  <c r="C10" i="12" l="1"/>
  <c r="C8" i="12"/>
  <c r="D20" i="8" l="1"/>
  <c r="B30" i="8" s="1"/>
  <c r="D19" i="8"/>
  <c r="D18" i="8"/>
  <c r="D17" i="8"/>
  <c r="B28" i="8" s="1"/>
  <c r="D16" i="8"/>
  <c r="D15" i="8"/>
  <c r="D14" i="8"/>
  <c r="D13" i="8"/>
  <c r="D12" i="8"/>
  <c r="D11" i="8"/>
  <c r="D10" i="8"/>
  <c r="D9" i="8"/>
  <c r="F23" i="8"/>
  <c r="F28" i="8"/>
  <c r="F27" i="8"/>
  <c r="F25" i="8"/>
  <c r="F30" i="8"/>
  <c r="F24" i="8"/>
  <c r="F29" i="8"/>
  <c r="F31" i="8"/>
  <c r="F26" i="8"/>
  <c r="B27" i="8" l="1"/>
  <c r="B24" i="8"/>
  <c r="B29" i="8"/>
  <c r="B31" i="8"/>
  <c r="B26" i="8"/>
  <c r="B25" i="8"/>
  <c r="B23" i="8"/>
</calcChain>
</file>

<file path=xl/sharedStrings.xml><?xml version="1.0" encoding="utf-8"?>
<sst xmlns="http://schemas.openxmlformats.org/spreadsheetml/2006/main" count="8371" uniqueCount="5293">
  <si>
    <t>ID</t>
  </si>
  <si>
    <t>Thème principal</t>
  </si>
  <si>
    <t>Sous-thème</t>
  </si>
  <si>
    <t>Mot-clé moteur</t>
  </si>
  <si>
    <t>Catégorie moteur</t>
  </si>
  <si>
    <t>Objectif opérationnel</t>
  </si>
  <si>
    <t>Action concrète terrain</t>
  </si>
  <si>
    <t>Exemple d’application</t>
  </si>
  <si>
    <t>Protéine concernée</t>
  </si>
  <si>
    <t>Public concerné</t>
  </si>
  <si>
    <t>Niveau de priorité</t>
  </si>
  <si>
    <t>Horizon de mise en œuvre</t>
  </si>
  <si>
    <t>Frein possible</t>
  </si>
  <si>
    <t>Solution proposée</t>
  </si>
  <si>
    <t>Indicateur de suivi</t>
  </si>
  <si>
    <t>Source fiable et vérifiable</t>
  </si>
  <si>
    <t>Utilisation pédagogique possible</t>
  </si>
  <si>
    <t>Commentaire formateur</t>
  </si>
  <si>
    <t>Question_CFA</t>
  </si>
  <si>
    <t>Réponse_CFA</t>
  </si>
  <si>
    <t>Question_PRO</t>
  </si>
  <si>
    <t>Réponse_PRO</t>
  </si>
  <si>
    <t>Réponse_terrain</t>
  </si>
  <si>
    <t>P001</t>
  </si>
  <si>
    <t>Cadre réglementaire</t>
  </si>
  <si>
    <t>Obligation plan pluriannuel</t>
  </si>
  <si>
    <t>plan pluriannuel protéines</t>
  </si>
  <si>
    <t>REGLEMENTATION</t>
  </si>
  <si>
    <t>Identifier si le site doit formaliser un plan présenté à la structure dirigeante.</t>
  </si>
  <si>
    <t>Vérifier le nombre moyen de couverts/jour et noter la date de présentation du plan.</t>
  </si>
  <si>
    <t>Cuisine centrale de 450 couverts : plan validé en commission restauration avant le budget annuel.</t>
  </si>
  <si>
    <t>Toutes sources</t>
  </si>
  <si>
    <t>Direction / gestionnaire</t>
  </si>
  <si>
    <t>CRITIQUE</t>
  </si>
  <si>
    <t>0-3 mois</t>
  </si>
  <si>
    <t>Obligation mal comprise ou non documentée.</t>
  </si>
  <si>
    <t>Créer une fiche de cadrage avec seuil, périmètre, responsable et échéance.</t>
  </si>
  <si>
    <t>% sites concernés avec plan daté et présenté</t>
  </si>
  <si>
    <t>Légifrance - Code rural et de la pêche maritime, article L230-5-4 | https://www.legifrance.gouv.fr/codes/article_lc/LEGIARTI000043978726</t>
  </si>
  <si>
    <t>Faire classer les sites concernés / non concernés.</t>
  </si>
  <si>
    <t>Commencer par le juridique évite de produire un outil décoratif.</t>
  </si>
  <si>
    <t>À partir de quel seuil le plan devient-il obligatoire ?</t>
  </si>
  <si>
    <t>Au-dessus de 200 couverts par jour en moyenne annuelle.</t>
  </si>
  <si>
    <t>Que doit prouver le gestionnaire ?</t>
  </si>
  <si>
    <t>Qu’un plan pluriannuel existe, qu’il inclut des alternatives végétales et qu’il est présenté à la structure dirigeante.</t>
  </si>
  <si>
    <t>On vérifie d’abord si le site est concerné, puis on trace le plan.</t>
  </si>
  <si>
    <t>P002</t>
  </si>
  <si>
    <t>Alternatives végétales</t>
  </si>
  <si>
    <t>alternatives protéines végétales</t>
  </si>
  <si>
    <t>Intégrer explicitement les alternatives à base de protéines végétales dans le plan.</t>
  </si>
  <si>
    <t>Repérer dans chaque cycle les recettes où une protéine végétale remplace ou complète la protéine animale.</t>
  </si>
  <si>
    <t>Remplacer une bolognaise bœuf par une bolognaise lentilles sur une rotation de 8 semaines.</t>
  </si>
  <si>
    <t>Légumineuses, soja, céréales</t>
  </si>
  <si>
    <t>Tous publics</t>
  </si>
  <si>
    <t>0-6 mois</t>
  </si>
  <si>
    <t>Le menu végétal est traité comme une exception.</t>
  </si>
  <si>
    <t>L’inscrire dans le plan alimentaire normal, pas comme animation isolée.</t>
  </si>
  <si>
    <t>Nombre de recettes végétales protidiques par cycle</t>
  </si>
  <si>
    <t>Demander aux stagiaires de distinguer complément, substitution et remplacement.</t>
  </si>
  <si>
    <t>Le moteur doit détecter les mots substitution, alternative, légumineuse, végétal.</t>
  </si>
  <si>
    <t>C’est quoi une alternative végétale ?</t>
  </si>
  <si>
    <t>Une préparation qui apporte une part protidique végétale réelle.</t>
  </si>
  <si>
    <t>Pourquoi l’alternative doit-elle être inscrite dans le plan ?</t>
  </si>
  <si>
    <t>Parce qu’elle structure l’achat, la recette, la formation et le suivi budgétaire.</t>
  </si>
  <si>
    <t>Une alternative végétale doit être prévue, produite et suivie.</t>
  </si>
  <si>
    <t>P003</t>
  </si>
  <si>
    <t>Menu végétarien scolaire</t>
  </si>
  <si>
    <t>menu végétarien hebdomadaire</t>
  </si>
  <si>
    <t>Sécuriser l’obligation de menu végétarien hebdomadaire en restauration scolaire.</t>
  </si>
  <si>
    <t>Contrôler que chaque semaine scolaire contient au moins un menu sans viande ni poisson.</t>
  </si>
  <si>
    <t>Semaine 12 : dahl lentilles corail, riz, yaourt, fruit.</t>
  </si>
  <si>
    <t>Œufs, produits laitiers, légumineuses, céréales</t>
  </si>
  <si>
    <t>Scolaire</t>
  </si>
  <si>
    <t>Menu végétarien pauvre en protéines ou mal accepté.</t>
  </si>
  <si>
    <t>Construire des recettes testées avec grammage, assaisonnement et retour convive.</t>
  </si>
  <si>
    <t>% semaines conformes</t>
  </si>
  <si>
    <t>ma-cantine - Comprendre mes obligations EGAlim / Climat et Résilience | https://ma-cantine.agriculture.gouv.fr/v2/comprendre-mes-obligations</t>
  </si>
  <si>
    <t>Faire lire un cycle de menus et repérer les semaines non conformes.</t>
  </si>
  <si>
    <t>Ne pas confondre végétarien et simple accompagnement de légumes.</t>
  </si>
  <si>
    <t>Un menu végétarien peut-il être seulement une assiette de légumes ?</t>
  </si>
  <si>
    <t>Non, il doit rester équilibré et contenir une vraie composante protidique.</t>
  </si>
  <si>
    <t>Comment auditer un cycle scolaire ?</t>
  </si>
  <si>
    <t>Contrôler semaine par semaine la présence, la qualité et l’acceptabilité du menu végétarien.</t>
  </si>
  <si>
    <t>Végétarien ne veut pas dire repas vide.</t>
  </si>
  <si>
    <t>P004</t>
  </si>
  <si>
    <t>Suivi ma-cantine</t>
  </si>
  <si>
    <t>déclaration ma cantine</t>
  </si>
  <si>
    <t>PILOTAGE</t>
  </si>
  <si>
    <t>Relier le plan à un suivi vérifiable et communicable.</t>
  </si>
  <si>
    <t>Renseigner les données utiles dans l’outil de suivi disponible et archiver les justificatifs.</t>
  </si>
  <si>
    <t>Copie annuelle des indicateurs : produits durables, menus végétariens, plan protéines.</t>
  </si>
  <si>
    <t>Gestionnaire</t>
  </si>
  <si>
    <t>HAUTE</t>
  </si>
  <si>
    <t>Annuel</t>
  </si>
  <si>
    <t>Données dispersées entre menus, achats et production.</t>
  </si>
  <si>
    <t>Créer une routine mensuelle d’extraction menus / achats / restes.</t>
  </si>
  <si>
    <t>Données déclarées et cohérentes avec pièces internes</t>
  </si>
  <si>
    <t>Transformer les obligations en cases de contrôle simples.</t>
  </si>
  <si>
    <t>Le moteur doit pouvoir produire un résumé audit.</t>
  </si>
  <si>
    <t>Pourquoi garder des preuves ?</t>
  </si>
  <si>
    <t>Parce qu’un plan non traçable reste fragile.</t>
  </si>
  <si>
    <t>Quels documents croiser ?</t>
  </si>
  <si>
    <t>Menus, bons de commande, fiches techniques, pesées de restes et retours convives.</t>
  </si>
  <si>
    <t>Ce qui n’est pas tracé sera difficile à défendre.</t>
  </si>
  <si>
    <t>P005</t>
  </si>
  <si>
    <t>Produits durables EGAlim</t>
  </si>
  <si>
    <t>produits durables qualité bio</t>
  </si>
  <si>
    <t>ACHAT</t>
  </si>
  <si>
    <t>Articuler diversification protéique et objectifs d’approvisionnement durable.</t>
  </si>
  <si>
    <t>Repérer les protéines végétales disponibles en qualité durable, bio ou locale selon le marché.</t>
  </si>
  <si>
    <t>Lentilles bio régionales intégrées dans deux recettes par mois.</t>
  </si>
  <si>
    <t>Légumineuses, céréales</t>
  </si>
  <si>
    <t>Acheteur / cuisine</t>
  </si>
  <si>
    <t>Année 1</t>
  </si>
  <si>
    <t>Le prix unitaire masque le coût portion.</t>
  </si>
  <si>
    <t>Comparer coût portion servie, pertes, satisfaction et régularité fournisseur.</t>
  </si>
  <si>
    <t>Part produits durables dans les achats protidiques</t>
  </si>
  <si>
    <t>ma-cantine - Mesures de la loi EGAlim et de la loi Climat et Résilience | https://ma-cantine.agriculture.gouv.fr/static/documents/2208_Mesures-LoiEgalim_BRO_V3.pdf</t>
  </si>
  <si>
    <t>Faire comparer prix kilo et coût portion réelle.</t>
  </si>
  <si>
    <t>Le coût utile est le coût consommé, pas seulement le prix catalogue.</t>
  </si>
  <si>
    <t>Pourquoi ne pas regarder seulement le prix au kilo ?</t>
  </si>
  <si>
    <t>Parce que rendement, pertes et acceptabilité changent le coût réel.</t>
  </si>
  <si>
    <t>Comment arbitrer un achat durable ?</t>
  </si>
  <si>
    <t>En croisant conformité EGAlim, disponibilité, rendement, coût portion et satisfaction.</t>
  </si>
  <si>
    <t>Un produit durable mal utilisé coûte cher.</t>
  </si>
  <si>
    <t>P006</t>
  </si>
  <si>
    <t>Formation des personnels</t>
  </si>
  <si>
    <t>formation diversification protéines</t>
  </si>
  <si>
    <t>FORMATION</t>
  </si>
  <si>
    <t>Prévoir une montée en compétence des équipes sur menus végétariens et protéines végétales.</t>
  </si>
  <si>
    <t>Programmer des ateliers courts : cuisson légumineuses, assaisonnement, textures, service.</t>
  </si>
  <si>
    <t>Atelier 45 minutes : cuire lentilles vertes, lentilles corail et pois chiches puis comparer usage.</t>
  </si>
  <si>
    <t>Équipes cuisine et service</t>
  </si>
  <si>
    <t>Les équipes subissent la nouveauté sans repères.</t>
  </si>
  <si>
    <t>Former par gestes simples et essais comparatifs, pas par discours théorique.</t>
  </si>
  <si>
    <t>Nombre d’agents formés + recettes testées</t>
  </si>
  <si>
    <t>Créer une séance mémoire : ingrédient, geste, défaut, correction.</t>
  </si>
  <si>
    <t>La formation doit produire des gestes reproductibles.</t>
  </si>
  <si>
    <t>Pourquoi former le service aussi ?</t>
  </si>
  <si>
    <t>Parce qu’il explique le plat et observe les refus.</t>
  </si>
  <si>
    <t>Quel est le risque d’une équipe non formée ?</t>
  </si>
  <si>
    <t>Recette mal exécutée, convives réticents et gaspillage accru.</t>
  </si>
  <si>
    <t>Une recette végétale réussit aussi grâce au service.</t>
  </si>
  <si>
    <t>P007</t>
  </si>
  <si>
    <t>Cadre CNRC</t>
  </si>
  <si>
    <t>cadre général cnrc</t>
  </si>
  <si>
    <t>METHODE</t>
  </si>
  <si>
    <t>S’appuyer sur un cadre institutionnel pour structurer le plan.</t>
  </si>
  <si>
    <t>Transformer le cadre général en colonnes opérationnelles : diagnostic, actions, indicateurs, bilan.</t>
  </si>
  <si>
    <t>Le plan 2026-2028 est découpé en diagnostic, recettes pilotes, achats, formation, suivi.</t>
  </si>
  <si>
    <t>Direction / formateur</t>
  </si>
  <si>
    <t>Document trop théorique pour la production.</t>
  </si>
  <si>
    <t>Le convertir en lignes moteur avec verbe d’action et indicateur.</t>
  </si>
  <si>
    <t>Plan structuré en axes + échéances</t>
  </si>
  <si>
    <t>CNRC / ma-cantine - Cadre général du plan pluriannuel de diversification des sources de protéines | https://ma-cantine.agriculture.gouv.fr/static/documents/Cadre_G%C3%A9n%C3%A9ral_CNRC_Plan_pluriannuel_de_diversification_des_sources_de_prot%C3%A9ines.pdf</t>
  </si>
  <si>
    <t>Faire convertir un paragraphe institutionnel en action terrain.</t>
  </si>
  <si>
    <t>Chaque ligne doit pouvoir devenir une règle ou une question pédagogique.</t>
  </si>
  <si>
    <t>À quoi sert le cadre CNRC ?</t>
  </si>
  <si>
    <t>À donner des repères communs pour construire le plan.</t>
  </si>
  <si>
    <t>Comment le rendre utile au terrain ?</t>
  </si>
  <si>
    <t>En le transformant en actions, responsabilités, indicateurs et preuves.</t>
  </si>
  <si>
    <t>Le cadre sert de base, pas de décoration.</t>
  </si>
  <si>
    <t>P008</t>
  </si>
  <si>
    <t>Publication ministérielle</t>
  </si>
  <si>
    <t>publication cadre plan protéines</t>
  </si>
  <si>
    <t>SOURCE</t>
  </si>
  <si>
    <t>Ancrer le contenu dans une source ministérielle vérifiable.</t>
  </si>
  <si>
    <t>Mentionner la source officielle dans les supports et dans le moteur.</t>
  </si>
  <si>
    <t>Colonne source renseignée pour chaque règle du plan.</t>
  </si>
  <si>
    <t>Formateur / gestionnaire</t>
  </si>
  <si>
    <t>MOYENNE</t>
  </si>
  <si>
    <t>Sources absentes ou invérifiables.</t>
  </si>
  <si>
    <t>Associer une source à chaque famille de règles.</t>
  </si>
  <si>
    <t>100% lignes critiques avec source</t>
  </si>
  <si>
    <t>Ministère de l'Agriculture - Publication du cadre du plan pluriannuel | https://agriculture.gouv.fr/restauration-collective-publication-dun-cadre-pour-le-plan-pluriannuel-de-diversification-des</t>
  </si>
  <si>
    <t>Faire repérer une source faible et une source forte.</t>
  </si>
  <si>
    <t>Une ligne moteur sans source devient difficile à justifier.</t>
  </si>
  <si>
    <t>Pourquoi citer la source ?</t>
  </si>
  <si>
    <t>Pour vérifier et actualiser la règle.</t>
  </si>
  <si>
    <t>Comment limiter les erreurs de doctrine ?</t>
  </si>
  <si>
    <t>En séparant réglementation, recommandation, guide pratique et retour terrain.</t>
  </si>
  <si>
    <t>La source évite l’opinion personnelle.</t>
  </si>
  <si>
    <t>P009</t>
  </si>
  <si>
    <t>Diagnostic initial</t>
  </si>
  <si>
    <t>Périmètre repas</t>
  </si>
  <si>
    <t>nombre couverts jour</t>
  </si>
  <si>
    <t>DIAGNOSTIC</t>
  </si>
  <si>
    <t>Mesurer le volume réel concerné par le plan.</t>
  </si>
  <si>
    <t>Calculer le nombre moyen de couverts par typologie de convives et par site.</t>
  </si>
  <si>
    <t>Moyenne annuelle : 320 scolaires, 80 adultes, 45 portage.</t>
  </si>
  <si>
    <t>Les effectifs varient selon périodes.</t>
  </si>
  <si>
    <t>Utiliser une moyenne annuelle et garder les pics pour l’organisation.</t>
  </si>
  <si>
    <t>Moyenne couverts/jour par public</t>
  </si>
  <si>
    <t>Exercice : classer les sites par obligation et priorité.</t>
  </si>
  <si>
    <t>Un plan pluriannuel part du volume réel, pas d’une impression.</t>
  </si>
  <si>
    <t>Pourquoi séparer les publics ?</t>
  </si>
  <si>
    <t>Parce que scolaire, EHPAD ou adulte n’ont pas les mêmes contraintes.</t>
  </si>
  <si>
    <t>Comment utiliser le volume dans le plan ?</t>
  </si>
  <si>
    <t>Il dimensionne achats, essais, formation, budget et indicateurs.</t>
  </si>
  <si>
    <t>Le volume décide du niveau d’organisation.</t>
  </si>
  <si>
    <t>P010</t>
  </si>
  <si>
    <t>Cycle de menus</t>
  </si>
  <si>
    <t>cycle menus actuel</t>
  </si>
  <si>
    <t>Établir l’état initial des sources de protéines servies.</t>
  </si>
  <si>
    <t>Coder chaque plat principal : viande rouge, volaille, poisson, œuf, laitier, légumineuse, mixte.</t>
  </si>
  <si>
    <t>Cycle 8 semaines : 18 viandes, 7 poissons, 4 œufs, 3 légumineuses.</t>
  </si>
  <si>
    <t>Cuisine / diététique</t>
  </si>
  <si>
    <t>Menus existants non codés.</t>
  </si>
  <si>
    <t>Créer une grille simple de comptage par famille protéique.</t>
  </si>
  <si>
    <t>Répartition % par famille</t>
  </si>
  <si>
    <t>Faire colorer un cycle par famille de protéines.</t>
  </si>
  <si>
    <t>Le codage des menus est le socle du moteur.</t>
  </si>
  <si>
    <t>Que faut-il compter dans le cycle ?</t>
  </si>
  <si>
    <t>La source protidique principale et les compléments significatifs.</t>
  </si>
  <si>
    <t>Pourquoi coder avant de changer ?</t>
  </si>
  <si>
    <t>Pour savoir où agir sans casser l’équilibre global.</t>
  </si>
  <si>
    <t>On ne pilote pas ce qu’on ne compte pas.</t>
  </si>
  <si>
    <t>P011</t>
  </si>
  <si>
    <t>Fréquence viande rouge</t>
  </si>
  <si>
    <t>viande rouge fréquence</t>
  </si>
  <si>
    <t>Identifier les leviers de réduction progressive de certaines viandes.</t>
  </si>
  <si>
    <t>Repérer les recettes où la viande rouge peut être réduite, alternée ou remplacée.</t>
  </si>
  <si>
    <t>Passer un hachis bœuf hebdomadaire en alternance hachis lentilles/bœuf.</t>
  </si>
  <si>
    <t>Bœuf, agneau, porc selon recettes</t>
  </si>
  <si>
    <t>Habitude convive et recette identitaire.</t>
  </si>
  <si>
    <t>Travailler d’abord les plats en sauce et hachés, plus faciles à faire évoluer.</t>
  </si>
  <si>
    <t>Nombre de services viande rouge / cycle</t>
  </si>
  <si>
    <t>ADEME - Alimentation durable, enjeux et priorités | https://economie-circulaire.ademe.fr/alimentation-durable</t>
  </si>
  <si>
    <t>Exercice : chercher les substitutions les moins visibles.</t>
  </si>
  <si>
    <t>Réduire brutalement peut augmenter les refus.</t>
  </si>
  <si>
    <t>Quel plat est le plus facile à faire évoluer ?</t>
  </si>
  <si>
    <t>Un plat haché ou en sauce, car la texture et l’assaisonnement aident l’acceptation.</t>
  </si>
  <si>
    <t>Pourquoi réduire progressivement ?</t>
  </si>
  <si>
    <t>Pour maintenir satisfaction, coût maîtrisé et qualité nutritionnelle.</t>
  </si>
  <si>
    <t>On commence par les recettes les plus transformables.</t>
  </si>
  <si>
    <t>P012</t>
  </si>
  <si>
    <t>Fréquence légumineuses</t>
  </si>
  <si>
    <t>légumineuses fréquence</t>
  </si>
  <si>
    <t>Mesurer la place réelle des légumes secs dans les menus.</t>
  </si>
  <si>
    <t>Compter lentilles, pois chiches, haricots, pois cassés, fèves, soja et recettes mixtes.</t>
  </si>
  <si>
    <t>Avant plan : 1 plat légumineuse par mois ; objectif : 1 par semaine en année 2.</t>
  </si>
  <si>
    <t>Légumineuses</t>
  </si>
  <si>
    <t>Les légumineuses sont invisibles comme garniture.</t>
  </si>
  <si>
    <t>Distinguer accompagnement, ingrédient secondaire et composante protidique.</t>
  </si>
  <si>
    <t>Fréquence légumes secs par cycle</t>
  </si>
  <si>
    <t>Manger Bouger / Santé publique France - Augmenter les légumes secs | https://www.mangerbouger.fr/l-essentiel/les-recommandations-sur-l-alimentation-l-activite-physique-et-la-sedentarite/augmenter/augmenter-les-legumes-secs</t>
  </si>
  <si>
    <t>Faire classer les recettes selon leur niveau protidique réel.</t>
  </si>
  <si>
    <t>La légumineuse de décor ne suffit pas à diversifier.</t>
  </si>
  <si>
    <t>Pourquoi compter les légumineuses ?</t>
  </si>
  <si>
    <t>Parce qu’elles sont un levier majeur de diversification protéique.</t>
  </si>
  <si>
    <t>Quelle différence entre garniture et protéine principale ?</t>
  </si>
  <si>
    <t>Le grammage, la recette et la fonction nutritionnelle dans l’assiette.</t>
  </si>
  <si>
    <t>Un pois chiche symbolique ne fait pas un plat protéiné.</t>
  </si>
  <si>
    <t>P013</t>
  </si>
  <si>
    <t>Coût portion</t>
  </si>
  <si>
    <t>coût portion protéine</t>
  </si>
  <si>
    <t>COUT</t>
  </si>
  <si>
    <t>Comparer les coûts à la portion servie et consommée.</t>
  </si>
  <si>
    <t>Calculer coût matière par portion, rendement, pertes et restes.</t>
  </si>
  <si>
    <t>Lentilles corail : coût faible mais refus élevé si recette fade ; coût utile à recalculer.</t>
  </si>
  <si>
    <t>Gestionnaire / cuisine</t>
  </si>
  <si>
    <t>Le prix achat est confondu avec le coût final.</t>
  </si>
  <si>
    <t>Intégrer pertes de cuisson, refus et déchets assiette.</t>
  </si>
  <si>
    <t>Coût portion consommée</t>
  </si>
  <si>
    <t>ma-cantine - Guide pratique approvisionnement en gestion directe | https://ma-cantine.agriculture.gouv.fr/static/documents/Guide_Pratique_MP_Gestion_directe.pdf</t>
  </si>
  <si>
    <t>Atelier : comparer 3 recettes à coût matière et gaspillage différents.</t>
  </si>
  <si>
    <t>Le coût bas sans acceptation est un faux gain.</t>
  </si>
  <si>
    <t>Pourquoi le coût portion consommée est-il plus juste ?</t>
  </si>
  <si>
    <t>Parce qu’il intègre ce qui est réellement mangé.</t>
  </si>
  <si>
    <t>Comment décider entre deux recettes ?</t>
  </si>
  <si>
    <t>Comparer coût, apport, temps de production, satisfaction et déchets.</t>
  </si>
  <si>
    <t>La meilleure recette est celle qui tient en production et dans l’assiette.</t>
  </si>
  <si>
    <t>P014</t>
  </si>
  <si>
    <t>Gaspillage initial</t>
  </si>
  <si>
    <t>restes plat protéique</t>
  </si>
  <si>
    <t>GASPILLAGE</t>
  </si>
  <si>
    <t>Établir un point zéro des refus avant changement.</t>
  </si>
  <si>
    <t>Peser les restes des plats pilotes et noter commentaires de service.</t>
  </si>
  <si>
    <t>Pesée sur dahl, chili sin carne, poisson, omelette pour comparaison.</t>
  </si>
  <si>
    <t>Cuisine / service</t>
  </si>
  <si>
    <t>Refus attribué au végétal sans preuve.</t>
  </si>
  <si>
    <t>Peser et interroger avant de conclure.</t>
  </si>
  <si>
    <t>Grammes restes / portion servie</t>
  </si>
  <si>
    <t>Faire analyser un plat très refusé : goût, nom, texture, température, service.</t>
  </si>
  <si>
    <t>Le gaspillage est un indicateur pédagogique puissant.</t>
  </si>
  <si>
    <t>Pourquoi peser les restes ?</t>
  </si>
  <si>
    <t>Pour distinguer impression et réalité.</t>
  </si>
  <si>
    <t>Que faire si le refus est élevé ?</t>
  </si>
  <si>
    <t>Tester assaisonnement, format, nom du plat, portion et accompagnement.</t>
  </si>
  <si>
    <t>Un refus se diagnostique avant de changer toute la stratégie.</t>
  </si>
  <si>
    <t>P015</t>
  </si>
  <si>
    <t>Compétences équipe</t>
  </si>
  <si>
    <t>maîtrise cuisson légumineuses</t>
  </si>
  <si>
    <t>Identifier les gestes manquants avant déploiement.</t>
  </si>
  <si>
    <t>Auto-évaluer trempage, cuisson, assaisonnement, liaison froide, remise en température.</t>
  </si>
  <si>
    <t>Équipe à l’aise sur lentilles mais pas sur pois chiches secs.</t>
  </si>
  <si>
    <t>Équipe cuisine</t>
  </si>
  <si>
    <t>Les défauts techniques sont confondus avec un problème d’ingrédient.</t>
  </si>
  <si>
    <t>Former sur un produit à la fois avec défauts et corrections.</t>
  </si>
  <si>
    <t>Nombre de gestes maîtrisés</t>
  </si>
  <si>
    <t>Créer une grille : geste / risque / correction.</t>
  </si>
  <si>
    <t>Avant d’accuser le convive, contrôler l’exécution.</t>
  </si>
  <si>
    <t>Quel défaut revient souvent avec les légumes secs ?</t>
  </si>
  <si>
    <t>Texture sèche, fadeur, mauvaise cuisson ou mauvaise liaison avec la sauce.</t>
  </si>
  <si>
    <t>Pourquoi auditer les gestes ?</t>
  </si>
  <si>
    <t>Parce qu’une protéine végétale mal cuite sera rejetée même si l’idée est bonne.</t>
  </si>
  <si>
    <t>La technique conditionne l’acceptation.</t>
  </si>
  <si>
    <t>P016</t>
  </si>
  <si>
    <t>Équipements</t>
  </si>
  <si>
    <t>capacité cuisson stockage</t>
  </si>
  <si>
    <t>PRODUCTION</t>
  </si>
  <si>
    <t>Vérifier que le matériel supporte les recettes prévues.</t>
  </si>
  <si>
    <t>Contrôler marmites, sauteuses, cellule, stockage sec et bacs adaptés.</t>
  </si>
  <si>
    <t>Pois chiches secs impossibles si la capacité de trempage et cuisson est insuffisante.</t>
  </si>
  <si>
    <t>Cuisine centrale</t>
  </si>
  <si>
    <t>Recette validée sur papier mais impossible en volume.</t>
  </si>
  <si>
    <t>Tester en production réelle avant généralisation.</t>
  </si>
  <si>
    <t>Recettes pilotes validées en volume</t>
  </si>
  <si>
    <t>Faire transformer une recette 10 portions en 500 portions avec points de vigilance.</t>
  </si>
  <si>
    <t>La faisabilité industrielle prime sur l’idée séduisante.</t>
  </si>
  <si>
    <t>Pourquoi tester en volume ?</t>
  </si>
  <si>
    <t>Parce que la cuisson, le refroidissement et le service changent d’échelle.</t>
  </si>
  <si>
    <t>Quel risque si on ne teste pas ?</t>
  </si>
  <si>
    <t>Retard, texture ratée, refroidissement difficile et refus convive.</t>
  </si>
  <si>
    <t>Une bonne recette doit passer l’échelle.</t>
  </si>
  <si>
    <t>P017</t>
  </si>
  <si>
    <t>Satisfaction convive</t>
  </si>
  <si>
    <t>retour convive acceptabilité</t>
  </si>
  <si>
    <t>ACCEPTABILITE</t>
  </si>
  <si>
    <t>Recueillir des retours simples avant et après les modifications.</t>
  </si>
  <si>
    <t>Mettre en place une fiche courte : goût, texture, satiété, envie de reprendre.</t>
  </si>
  <si>
    <t>3 smileys à la sortie + commentaire libre sur le plat végétarien.</t>
  </si>
  <si>
    <t>Convives / service</t>
  </si>
  <si>
    <t>Retour uniquement oral et non exploitable.</t>
  </si>
  <si>
    <t>Standardiser trois questions maximum et suivre dans le temps.</t>
  </si>
  <si>
    <t>Taux satisfaction plat pilote</t>
  </si>
  <si>
    <t>Ministère de l'Agriculture - Évaluation du menu végétarien hebdomadaire | https://agriculture.gouv.fr/evaluation-de-lexperimentation-dun-menu-vegetarien-hebdomadaire-en-restauration-collective-0</t>
  </si>
  <si>
    <t>Faire interpréter les retours : goût, nom, portion, habitude.</t>
  </si>
  <si>
    <t>L’acceptabilité se travaille avec des preuves.</t>
  </si>
  <si>
    <t>Que demander au convive ?</t>
  </si>
  <si>
    <t>S’il a aimé, s’il a été rassasié et ce qui bloque.</t>
  </si>
  <si>
    <t>Pourquoi suivre dans le temps ?</t>
  </si>
  <si>
    <t>Parce qu’une nouveauté peut être refusée puis mieux acceptée après répétition.</t>
  </si>
  <si>
    <t>Le premier refus n’est pas toujours un échec définitif.</t>
  </si>
  <si>
    <t>P018</t>
  </si>
  <si>
    <t>Allergènes et régimes</t>
  </si>
  <si>
    <t>soja gluten œuf lait</t>
  </si>
  <si>
    <t>QUALITE_SECURITE</t>
  </si>
  <si>
    <t>Cartographier les allergènes majeurs des alternatives protéiques.</t>
  </si>
  <si>
    <t>Repérer soja, gluten/seitan, œuf, lait, fruits à coque et sulfites éventuels.</t>
  </si>
  <si>
    <t>Burger végétal contenant soja et gluten : information convive renforcée.</t>
  </si>
  <si>
    <t>Soja, gluten, œuf, lait</t>
  </si>
  <si>
    <t>Confusion entre végétarien et sans allergènes.</t>
  </si>
  <si>
    <t>Mettre à jour fiches techniques et affichage allergènes avant service.</t>
  </si>
  <si>
    <t>% recettes alternatives avec allergènes validés</t>
  </si>
  <si>
    <t>GEM-RCN - Recommandation nutrition en restauration collective | https://www.economie.gouv.fr/files/directions_services/daj/marches_publics/oeap/gem/nutrition/nutrition.pdf</t>
  </si>
  <si>
    <t>Exercice : lire une étiquette de steak végétal et repérer les allergènes.</t>
  </si>
  <si>
    <t>Végétal ne veut pas dire sans risque.</t>
  </si>
  <si>
    <t>Un plat végétarien est-il automatiquement sans allergène ?</t>
  </si>
  <si>
    <t>Non, il peut contenir soja, gluten, œuf, lait ou fruits à coque.</t>
  </si>
  <si>
    <t>Que doit contrôler le professionnel ?</t>
  </si>
  <si>
    <t>La fiche technique fournisseur, la recette, les contaminations croisées et l’information convive.</t>
  </si>
  <si>
    <t>La sécurité allergène reste prioritaire.</t>
  </si>
  <si>
    <t>P019</t>
  </si>
  <si>
    <t>Les différentes sources de protéines.</t>
  </si>
  <si>
    <t>Légumineuses entières</t>
  </si>
  <si>
    <t>lentilles vertes</t>
  </si>
  <si>
    <t>SOURCES_PROTEINES</t>
  </si>
  <si>
    <t>Installer une recette robuste à base de lentilles vertes.</t>
  </si>
  <si>
    <t>Prévoir trempage si nécessaire selon variété, cuisson maîtrisée, sauce généreuse et garniture cohérente.</t>
  </si>
  <si>
    <t>Lentilles vertes à la tomate, carottes et céréale complète.</t>
  </si>
  <si>
    <t>Lentilles</t>
  </si>
  <si>
    <t>Scolaire / adulte</t>
  </si>
  <si>
    <t>Texture farineuse ou plat sec.</t>
  </si>
  <si>
    <t>Cuisson juste, sauce couvrante, assaisonnement progressif.</t>
  </si>
  <si>
    <t>Taux de service sans refus + restes</t>
  </si>
  <si>
    <t>Faire identifier source, usage, risque et correction.</t>
  </si>
  <si>
    <t>Chaque protéine doit être reliée à une recette, pas seulement listée.</t>
  </si>
  <si>
    <t>Quel est l’intérêt de lentilles vertes dans le plan ?</t>
  </si>
  <si>
    <t>Diversifier les apports et les recettes avec un repère concret.</t>
  </si>
  <si>
    <t>Quel point de vigilance professionnel pour lentilles vertes ?</t>
  </si>
  <si>
    <t>Contrôler le procédé, le coût, les allergènes, l’acceptabilité et la traçabilité.</t>
  </si>
  <si>
    <t>lentilles vertes doit être testé en recette réelle avant généralisation.</t>
  </si>
  <si>
    <t>P020</t>
  </si>
  <si>
    <t>Légumineuses rapides</t>
  </si>
  <si>
    <t>lentilles corail</t>
  </si>
  <si>
    <t>Utiliser une légumineuse à cuisson courte pour sécuriser les premiers essais.</t>
  </si>
  <si>
    <t>Tester dahl, soupe enrichie ou sauce liée pour limiter les risques de texture.</t>
  </si>
  <si>
    <t>Dahl de lentilles corail et riz.</t>
  </si>
  <si>
    <t>Lentilles corail</t>
  </si>
  <si>
    <t>Surcuisson et aspect purée mal perçu.</t>
  </si>
  <si>
    <t>Assumer une texture de sauce ou de velouté plutôt qu’un grain entier raté.</t>
  </si>
  <si>
    <t>Nombre de recettes corail validées</t>
  </si>
  <si>
    <t>Quel est l’intérêt de lentilles corail dans le plan ?</t>
  </si>
  <si>
    <t>Quel point de vigilance professionnel pour lentilles corail ?</t>
  </si>
  <si>
    <t>lentilles corail doit être testé en recette réelle avant généralisation.</t>
  </si>
  <si>
    <t>P021</t>
  </si>
  <si>
    <t>Pois chiches</t>
  </si>
  <si>
    <t>pois chiches</t>
  </si>
  <si>
    <t>Diversifier avec une légumineuse bien identifiable et polyvalente.</t>
  </si>
  <si>
    <t>Prévoir houmous, couscous végétarien, curry ou salade complète selon public.</t>
  </si>
  <si>
    <t>Couscous légumes et pois chiches.</t>
  </si>
  <si>
    <t>Peau dure ou manque d’assaisonnement.</t>
  </si>
  <si>
    <t>Choisir format adapté : conserve égouttée, surgelé ou cuisson longue contrôlée.</t>
  </si>
  <si>
    <t>Satisfaction plat pois chiches</t>
  </si>
  <si>
    <t>Quel est l’intérêt de pois chiches dans le plan ?</t>
  </si>
  <si>
    <t>Quel point de vigilance professionnel pour pois chiches ?</t>
  </si>
  <si>
    <t>pois chiches doit être testé en recette réelle avant généralisation.</t>
  </si>
  <si>
    <t>P022</t>
  </si>
  <si>
    <t>Haricots secs</t>
  </si>
  <si>
    <t>haricots rouges</t>
  </si>
  <si>
    <t>Introduire des recettes rassurantes et connues.</t>
  </si>
  <si>
    <t>Utiliser chili sin carne ou salade mexicaine pour donner un repère gustatif.</t>
  </si>
  <si>
    <t>Chili haricots rouges, maïs, tomate, riz.</t>
  </si>
  <si>
    <t>Haricots rouges</t>
  </si>
  <si>
    <t>Adolescents / adultes</t>
  </si>
  <si>
    <t>Image de plat lourd ou trop épicé.</t>
  </si>
  <si>
    <t>Adapter épices, texture et portion au public.</t>
  </si>
  <si>
    <t>Restes chili sin carne</t>
  </si>
  <si>
    <t>ANSES - Table Ciqual de composition nutritionnelle des aliments | https://ciqual.anses.fr/</t>
  </si>
  <si>
    <t>Quel est l’intérêt de haricots rouges dans le plan ?</t>
  </si>
  <si>
    <t>Quel point de vigilance professionnel pour haricots rouges ?</t>
  </si>
  <si>
    <t>haricots rouges doit être testé en recette réelle avant généralisation.</t>
  </si>
  <si>
    <t>P023</t>
  </si>
  <si>
    <t>Pois cassés</t>
  </si>
  <si>
    <t>pois cassés</t>
  </si>
  <si>
    <t>Valoriser une source économique dans potages et purées.</t>
  </si>
  <si>
    <t>Travailler en potage protéiné ou purée accompagnée d’une céréale.</t>
  </si>
  <si>
    <t>Velouté pois cassés, croûtons, fromage selon public.</t>
  </si>
  <si>
    <t>Scolaire / seniors</t>
  </si>
  <si>
    <t>Année 2</t>
  </si>
  <si>
    <t>Couleur ou texture peu attractive.</t>
  </si>
  <si>
    <t>Nommer positivement, enrichir aromatiquement et servir chaud.</t>
  </si>
  <si>
    <t>Taux de consommation potage enrichi</t>
  </si>
  <si>
    <t>Quel est l’intérêt de pois cassés dans le plan ?</t>
  </si>
  <si>
    <t>Quel point de vigilance professionnel pour pois cassés ?</t>
  </si>
  <si>
    <t>pois cassés doit être testé en recette réelle avant généralisation.</t>
  </si>
  <si>
    <t>P024</t>
  </si>
  <si>
    <t>Fèves</t>
  </si>
  <si>
    <t>fèves</t>
  </si>
  <si>
    <t>Ajouter une légumineuse saisonnière ou surgelée dans les menus.</t>
  </si>
  <si>
    <t>Tester en salade, purée ou accompagnement mixte avec céréales.</t>
  </si>
  <si>
    <t>Salade fèves, boulgour, herbes, citron.</t>
  </si>
  <si>
    <t>Adultes</t>
  </si>
  <si>
    <t>BASSE</t>
  </si>
  <si>
    <t>Produit moins connu ou coût variable.</t>
  </si>
  <si>
    <t>Commencer par animation ou petite fréquence.</t>
  </si>
  <si>
    <t>Recette fèves acceptée</t>
  </si>
  <si>
    <t>Quel est l’intérêt de fèves dans le plan ?</t>
  </si>
  <si>
    <t>Quel point de vigilance professionnel pour fèves ?</t>
  </si>
  <si>
    <t>fèves doit être testé en recette réelle avant généralisation.</t>
  </si>
  <si>
    <t>P025</t>
  </si>
  <si>
    <t>Les ingrédients riches en protéines.</t>
  </si>
  <si>
    <t>Soja nature</t>
  </si>
  <si>
    <t>tofu</t>
  </si>
  <si>
    <t>Utiliser le tofu seulement si la recette apporte goût et texture.</t>
  </si>
  <si>
    <t>Mariner, saisir ou intégrer dans une sauce ; éviter le tofu neutre servi tel quel.</t>
  </si>
  <si>
    <t>Tofu mariné soja-gingembre, légumes, nouilles.</t>
  </si>
  <si>
    <t>Soja</t>
  </si>
  <si>
    <t>Image négative et texture jugée fade.</t>
  </si>
  <si>
    <t>Marinade, cuisson dorée, découpe adaptée, communication simple.</t>
  </si>
  <si>
    <t>Taux satisfaction tofu</t>
  </si>
  <si>
    <t>ANSES - Protéines : rôle, sources et apports recommandés | https://www.anses.fr/fr/content/proteines-role-sources-et-apports-recommandes</t>
  </si>
  <si>
    <t>Quel est l’intérêt de tofu dans le plan ?</t>
  </si>
  <si>
    <t>Quel point de vigilance professionnel pour tofu ?</t>
  </si>
  <si>
    <t>tofu doit être testé en recette réelle avant généralisation.</t>
  </si>
  <si>
    <t>P026</t>
  </si>
  <si>
    <t>Soja fermenté</t>
  </si>
  <si>
    <t>tempeh</t>
  </si>
  <si>
    <t>Tester une alternative de soja fermenté sur publics ouverts.</t>
  </si>
  <si>
    <t>Découper fin, mariner, griller et servir en plat typé.</t>
  </si>
  <si>
    <t>Tempeh grillé sauce cacahuète, riz, légumes.</t>
  </si>
  <si>
    <t>Année 3</t>
  </si>
  <si>
    <t>Goût marqué et coût supérieur.</t>
  </si>
  <si>
    <t>Réserver aux sites pilotes ou animations.</t>
  </si>
  <si>
    <t>Nombre tests concluants</t>
  </si>
  <si>
    <t>Quel est l’intérêt de tempeh dans le plan ?</t>
  </si>
  <si>
    <t>Quel point de vigilance professionnel pour tempeh ?</t>
  </si>
  <si>
    <t>tempeh doit être testé en recette réelle avant généralisation.</t>
  </si>
  <si>
    <t>P027</t>
  </si>
  <si>
    <t>Protéines texturées</t>
  </si>
  <si>
    <t>protéines soja texturées</t>
  </si>
  <si>
    <t>SUBSTITUTION</t>
  </si>
  <si>
    <t>Remplacer partiellement les hachés dans recettes en sauce.</t>
  </si>
  <si>
    <t>Réhydrater dans bouillon aromatique, mélanger à sauce tomate ou légumes.</t>
  </si>
  <si>
    <t>Bolognaise mixte : 50% bœuf, 50% protéines de soja texturées.</t>
  </si>
  <si>
    <t>Allergène soja et texture spongieuse.</t>
  </si>
  <si>
    <t>Réhydratation aromatique + information allergènes.</t>
  </si>
  <si>
    <t>Coût portion + acceptation</t>
  </si>
  <si>
    <t>Quel est l’intérêt de protéines soja texturées dans le plan ?</t>
  </si>
  <si>
    <t>Quel point de vigilance professionnel pour protéines soja texturées ?</t>
  </si>
  <si>
    <t>protéines soja texturées doit être testé en recette réelle avant généralisation.</t>
  </si>
  <si>
    <t>P028</t>
  </si>
  <si>
    <t>Gluten de blé</t>
  </si>
  <si>
    <t>seitan</t>
  </si>
  <si>
    <t>Utiliser le seitan uniquement avec contrôle allergène gluten.</t>
  </si>
  <si>
    <t>Réserver aux menus adaptés, jamais aux publics nécessitant exclusion gluten.</t>
  </si>
  <si>
    <t>Émincé de seitan sauce paprika, pâtes.</t>
  </si>
  <si>
    <t>Confusion avec menu sans allergène.</t>
  </si>
  <si>
    <t>Identifier clairement gluten et proposer alternative.</t>
  </si>
  <si>
    <t>% fiches allergènes à jour</t>
  </si>
  <si>
    <t>Quel est l’intérêt de seitan dans le plan ?</t>
  </si>
  <si>
    <t>Quel point de vigilance professionnel pour seitan ?</t>
  </si>
  <si>
    <t>seitan doit être testé en recette réelle avant généralisation.</t>
  </si>
  <si>
    <t>P029</t>
  </si>
  <si>
    <t>Œufs</t>
  </si>
  <si>
    <t>œufs omelette</t>
  </si>
  <si>
    <t>Garder l’œuf comme protéine simple, acceptable et peu coûteuse.</t>
  </si>
  <si>
    <t>Varier omelette, flan salé, œufs durs en salade complète.</t>
  </si>
  <si>
    <t>Omelette aux herbes, pommes de terre, salade.</t>
  </si>
  <si>
    <t>Scolaire / EHPAD</t>
  </si>
  <si>
    <t>Répétition et texture sèche en liaison froide.</t>
  </si>
  <si>
    <t>Tester mode de cuisson et remise en température.</t>
  </si>
  <si>
    <t>Taux de refus œufs</t>
  </si>
  <si>
    <t>Quel est l’intérêt de œufs omelette dans le plan ?</t>
  </si>
  <si>
    <t>Quel point de vigilance professionnel pour œufs omelette ?</t>
  </si>
  <si>
    <t>œufs omelette doit être testé en recette réelle avant généralisation.</t>
  </si>
  <si>
    <t>P030</t>
  </si>
  <si>
    <t>Produits laitiers</t>
  </si>
  <si>
    <t>fromage protéine complément</t>
  </si>
  <si>
    <t>COMPLEMENT</t>
  </si>
  <si>
    <t>Utiliser le laitier comme complément, pas unique réponse au plan.</t>
  </si>
  <si>
    <t>Associer fromage, céréale et légumineuse si le plat principal est léger.</t>
  </si>
  <si>
    <t>Gratin lentilles, légumes et fromage.</t>
  </si>
  <si>
    <t>Lait</t>
  </si>
  <si>
    <t>Excès de laitier pour compenser un plat faible.</t>
  </si>
  <si>
    <t>Calibrer l’ensemble du repas et surveiller sel/gras.</t>
  </si>
  <si>
    <t>Équilibre repas validé</t>
  </si>
  <si>
    <t>Quel est l’intérêt de fromage protéine complément dans le plan ?</t>
  </si>
  <si>
    <t>Quel point de vigilance professionnel pour fromage protéine complément ?</t>
  </si>
  <si>
    <t>fromage protéine complément doit être testé en recette réelle avant généralisation.</t>
  </si>
  <si>
    <t>P031</t>
  </si>
  <si>
    <t>Poisson</t>
  </si>
  <si>
    <t>poisson alternance</t>
  </si>
  <si>
    <t>Maintenir une diversité animale raisonnée dans le plan.</t>
  </si>
  <si>
    <t>Alterner poisson, œufs, légumineuses et volailles selon contraintes nutritionnelles.</t>
  </si>
  <si>
    <t>Poisson sauce citron une semaine, dahl la semaine suivante.</t>
  </si>
  <si>
    <t>Coût, arêtes, acceptabilité.</t>
  </si>
  <si>
    <t>Choisir formats adaptés au public et limiter pertes.</t>
  </si>
  <si>
    <t>Fréquence poisson conforme</t>
  </si>
  <si>
    <t>Quel est l’intérêt de poisson alternance dans le plan ?</t>
  </si>
  <si>
    <t>Quel point de vigilance professionnel pour poisson alternance ?</t>
  </si>
  <si>
    <t>poisson alternance doit être testé en recette réelle avant généralisation.</t>
  </si>
  <si>
    <t>P032</t>
  </si>
  <si>
    <t>Volaille</t>
  </si>
  <si>
    <t>volaille réduction fréquence</t>
  </si>
  <si>
    <t>Utiliser la volaille comme protéine animale de transition.</t>
  </si>
  <si>
    <t>Créer alternance volaille / légumineuse dans les plats rassurants.</t>
  </si>
  <si>
    <t>Émincé volaille curry une semaine, curry pois chiches la suivante.</t>
  </si>
  <si>
    <t>Comparaison directe avec plat végétal moins maîtrisé.</t>
  </si>
  <si>
    <t>Ne comparer qu’après recette végétale techniquement validée.</t>
  </si>
  <si>
    <t>Alternance volaille/végétal par cycle</t>
  </si>
  <si>
    <t>Quel est l’intérêt de volaille réduction fréquence dans le plan ?</t>
  </si>
  <si>
    <t>Quel point de vigilance professionnel pour volaille réduction fréquence ?</t>
  </si>
  <si>
    <t>volaille réduction fréquence doit être testé en recette réelle avant généralisation.</t>
  </si>
  <si>
    <t>P033</t>
  </si>
  <si>
    <t>Viande hachée</t>
  </si>
  <si>
    <t>haché mixte lentilles</t>
  </si>
  <si>
    <t>Réduire progressivement la viande hachée sans rupture brutale.</t>
  </si>
  <si>
    <t>Introduire mélange viande/lentilles dans sauces, hachis, farces.</t>
  </si>
  <si>
    <t>Sauce tomate hachée 70% viande, 30% lentilles puis évolution vers 50/50.</t>
  </si>
  <si>
    <t>Viande + lentilles</t>
  </si>
  <si>
    <t>Rejet si changement trop visible.</t>
  </si>
  <si>
    <t>Démarrer en substitution partielle et mesurer les restes.</t>
  </si>
  <si>
    <t>% viande remplacée sans hausse des refus</t>
  </si>
  <si>
    <t>Quel est l’intérêt de haché mixte lentilles dans le plan ?</t>
  </si>
  <si>
    <t>Quel point de vigilance professionnel pour haché mixte lentilles ?</t>
  </si>
  <si>
    <t>haché mixte lentilles doit être testé en recette réelle avant généralisation.</t>
  </si>
  <si>
    <t>P034</t>
  </si>
  <si>
    <t>La complémentation des protéines.</t>
  </si>
  <si>
    <t>Céréales complètes</t>
  </si>
  <si>
    <t>céréales complètes légumineuses</t>
  </si>
  <si>
    <t>NUTRITION</t>
  </si>
  <si>
    <t>Associer céréales et légumineuses pour améliorer l’équilibre du plat.</t>
  </si>
  <si>
    <t>Prévoir riz/lentilles, semoule/pois chiches, pâtes/haricots, boulgour/fèves.</t>
  </si>
  <si>
    <t>Riz complet et lentilles façon mujaddara simplifiée.</t>
  </si>
  <si>
    <t>Céréales + légumineuses</t>
  </si>
  <si>
    <t>Plat trop sec ou trop riche en amidon.</t>
  </si>
  <si>
    <t>Ajouter légumes, sauce, matière grasse maîtrisée et herbes.</t>
  </si>
  <si>
    <t>Nombre recettes céréale+légumineuse</t>
  </si>
  <si>
    <t>Quel est l’intérêt de céréales complètes légumineuses dans le plan ?</t>
  </si>
  <si>
    <t>Quel point de vigilance professionnel pour céréales complètes légumineuses ?</t>
  </si>
  <si>
    <t>céréales complètes légumineuses doit être testé en recette réelle avant généralisation.</t>
  </si>
  <si>
    <t>P035</t>
  </si>
  <si>
    <t>Quinoa sarrasin</t>
  </si>
  <si>
    <t>quinoa sarrasin</t>
  </si>
  <si>
    <t>Diversifier les céréales et pseudo-céréales pour varier les profils menus.</t>
  </si>
  <si>
    <t>Utiliser en salade complète ou garniture de plat végétarien.</t>
  </si>
  <si>
    <t>Salade quinoa, pois chiches, légumes rôtis.</t>
  </si>
  <si>
    <t>Quinoa, sarrasin</t>
  </si>
  <si>
    <t>Adultes / scolaire</t>
  </si>
  <si>
    <t>Coût plus élevé ou origine lointaine.</t>
  </si>
  <si>
    <t>Réserver à rotation ponctuelle et comparer avec lentilles/riz.</t>
  </si>
  <si>
    <t>Coût portion et satisfaction</t>
  </si>
  <si>
    <t>Quel est l’intérêt de quinoa sarrasin dans le plan ?</t>
  </si>
  <si>
    <t>Quel point de vigilance professionnel pour quinoa sarrasin ?</t>
  </si>
  <si>
    <t>quinoa sarrasin doit être testé en recette réelle avant généralisation.</t>
  </si>
  <si>
    <t>P036</t>
  </si>
  <si>
    <t>Oléagineux</t>
  </si>
  <si>
    <t>noix graines</t>
  </si>
  <si>
    <t>Utiliser graines et fruits à coque comme complément goût/texture avec vigilance allergène.</t>
  </si>
  <si>
    <t>Ajouter graines de courge ou noix selon politique allergènes du site.</t>
  </si>
  <si>
    <t>Salade lentilles, carottes, graines de courge.</t>
  </si>
  <si>
    <t>Graines, noix</t>
  </si>
  <si>
    <t>Allergènes fruits à coque et coût.</t>
  </si>
  <si>
    <t>Contrôler allergènes et proposer option sans.</t>
  </si>
  <si>
    <t>% recettes avec allergènes vérifiés</t>
  </si>
  <si>
    <t>Quel est l’intérêt de noix graines dans le plan ?</t>
  </si>
  <si>
    <t>Quel point de vigilance professionnel pour noix graines ?</t>
  </si>
  <si>
    <t>noix graines doit être testé en recette réelle avant généralisation.</t>
  </si>
  <si>
    <t>P037</t>
  </si>
  <si>
    <t>Les produits de substitution.</t>
  </si>
  <si>
    <t>Produits transformés</t>
  </si>
  <si>
    <t>steak végétal transformé</t>
  </si>
  <si>
    <t>QUALITE</t>
  </si>
  <si>
    <t>Évaluer les substituts industriels avant référencement.</t>
  </si>
  <si>
    <t>Lire étiquette : protéines, sel, matières grasses, additifs, allergènes, prix portion.</t>
  </si>
  <si>
    <t>Comparatif steak végétal soja vs galette maison lentilles.</t>
  </si>
  <si>
    <t>Soja, blé, pois</t>
  </si>
  <si>
    <t>Produit pratique mais salé, cher ou allergène.</t>
  </si>
  <si>
    <t>Créer une grille de choix fournisseur.</t>
  </si>
  <si>
    <t>Score achat nutrition/coût/allergènes</t>
  </si>
  <si>
    <t>Quel est l’intérêt de steak végétal transformé dans le plan ?</t>
  </si>
  <si>
    <t>Quel point de vigilance professionnel pour steak végétal transformé ?</t>
  </si>
  <si>
    <t>steak végétal transformé doit être testé en recette réelle avant généralisation.</t>
  </si>
  <si>
    <t>P038</t>
  </si>
  <si>
    <t>Connaître les nouveaux ingrédients et les substitutions possibles aux produits issus des animaux.</t>
  </si>
  <si>
    <t>Recette pilote</t>
  </si>
  <si>
    <t>chili sin carne</t>
  </si>
  <si>
    <t>RECETTE</t>
  </si>
  <si>
    <t>Installer une recette végétarienne très lisible et rassasiante.</t>
  </si>
  <si>
    <t>Tester haricots rouges, tomate, maïs, épices douces et riz.</t>
  </si>
  <si>
    <t>Chili sin carne servi avec riz et fromage râpé séparé.</t>
  </si>
  <si>
    <t>Trop épicé ou trop liquide.</t>
  </si>
  <si>
    <t>Standardiser épices douces et texture nappante.</t>
  </si>
  <si>
    <t>Restes chili / satisfaction</t>
  </si>
  <si>
    <t>Faire transformer une recette viande en recette végétale contrôlée.</t>
  </si>
  <si>
    <t>Une recette pilote doit être testée, mesurée et corrigée.</t>
  </si>
  <si>
    <t>Quel est le point clé pour réussir chili sin carne ?</t>
  </si>
  <si>
    <t>Goût, texture, sauce, grammage et service doivent être maîtrisés.</t>
  </si>
  <si>
    <t>Comment valider chili sin carne en production ?</t>
  </si>
  <si>
    <t>Par essai volume, pesée des restes, retour convive et correction fiche technique.</t>
  </si>
  <si>
    <t>chili sin carne n’est validé que si le plat sort correctement en vraie production.</t>
  </si>
  <si>
    <t>P039</t>
  </si>
  <si>
    <t>bolognaise lentilles</t>
  </si>
  <si>
    <t>Substituer une recette connue sans rupture de repère.</t>
  </si>
  <si>
    <t>Utiliser lentilles brunes ou vertes, sauce tomate, herbes, cuisson longue.</t>
  </si>
  <si>
    <t>Pâtes bolognaise aux lentilles.</t>
  </si>
  <si>
    <t>Comparaison directe avec bolognaise viande.</t>
  </si>
  <si>
    <t>Ne pas vendre comme imitation mais comme sauce lentilles tomate.</t>
  </si>
  <si>
    <t>Taux de prise et restes</t>
  </si>
  <si>
    <t>Quel est le point clé pour réussir bolognaise lentilles ?</t>
  </si>
  <si>
    <t>Comment valider bolognaise lentilles en production ?</t>
  </si>
  <si>
    <t>bolognaise lentilles n’est validé que si le plat sort correctement en vraie production.</t>
  </si>
  <si>
    <t>P040</t>
  </si>
  <si>
    <t>dahl lentilles corail</t>
  </si>
  <si>
    <t>Produire un plat végétal chaud, simple et économique.</t>
  </si>
  <si>
    <t>Associer lentilles corail, riz, légumes, épices douces, lait de coco si accepté.</t>
  </si>
  <si>
    <t>Dahl lentilles corail et riz basmati.</t>
  </si>
  <si>
    <t>Aspect monotone ou texture trop épaisse.</t>
  </si>
  <si>
    <t>Soigner couleur, topping herbes, accompagnement et fluidité.</t>
  </si>
  <si>
    <t>Satisfaction dahl</t>
  </si>
  <si>
    <t>Quel est le point clé pour réussir dahl lentilles corail ?</t>
  </si>
  <si>
    <t>Comment valider dahl lentilles corail en production ?</t>
  </si>
  <si>
    <t>dahl lentilles corail n’est validé que si le plat sort correctement en vraie production.</t>
  </si>
  <si>
    <t>P041</t>
  </si>
  <si>
    <t>curry pois chiches</t>
  </si>
  <si>
    <t>Créer une recette végétarienne stable en liaison chaude ou froide.</t>
  </si>
  <si>
    <t>Tester sauce curry douce, pois chiches, légumes et céréale.</t>
  </si>
  <si>
    <t>Curry pois chiches, carottes, riz.</t>
  </si>
  <si>
    <t>Pois chiches secs ou sauce séparée.</t>
  </si>
  <si>
    <t>Napper suffisamment et choisir calibre adapté.</t>
  </si>
  <si>
    <t>Restes curry pois chiches</t>
  </si>
  <si>
    <t>Quel est le point clé pour réussir curry pois chiches ?</t>
  </si>
  <si>
    <t>Comment valider curry pois chiches en production ?</t>
  </si>
  <si>
    <t>curry pois chiches n’est validé que si le plat sort correctement en vraie production.</t>
  </si>
  <si>
    <t>P042</t>
  </si>
  <si>
    <t>couscous végétarien</t>
  </si>
  <si>
    <t>Utiliser un plat familier pour intégrer pois chiches et légumes.</t>
  </si>
  <si>
    <t>Renforcer pois chiches et légumes, semoule complète selon acceptabilité.</t>
  </si>
  <si>
    <t>Couscous légumes, pois chiches, raisins facultatifs.</t>
  </si>
  <si>
    <t>Pois chiches + semoule</t>
  </si>
  <si>
    <t>Perçu comme couscous sans viande.</t>
  </si>
  <si>
    <t>Présenter comme couscous légumes et pois chiches, sauce généreuse.</t>
  </si>
  <si>
    <t>Taux de prise plat</t>
  </si>
  <si>
    <t>Quel est le point clé pour réussir couscous végétarien ?</t>
  </si>
  <si>
    <t>Comment valider couscous végétarien en production ?</t>
  </si>
  <si>
    <t>couscous végétarien n’est validé que si le plat sort correctement en vraie production.</t>
  </si>
  <si>
    <t>P043</t>
  </si>
  <si>
    <t>Recette mixte</t>
  </si>
  <si>
    <t>hachis lentilles</t>
  </si>
  <si>
    <t>Réduire progressivement la viande dans un plat très connu.</t>
  </si>
  <si>
    <t>Faire une base lentilles/légumes sous purée, avec ou sans part de viande.</t>
  </si>
  <si>
    <t>Hachis parmentier lentilles-carottes.</t>
  </si>
  <si>
    <t>Texture sèche après remise en température.</t>
  </si>
  <si>
    <t>Ajouter jus/sauce, purée souple, contrôle température.</t>
  </si>
  <si>
    <t>Restes hachis végétal</t>
  </si>
  <si>
    <t>Quel est le point clé pour réussir hachis lentilles ?</t>
  </si>
  <si>
    <t>Comment valider hachis lentilles en production ?</t>
  </si>
  <si>
    <t>hachis lentilles n’est validé que si le plat sort correctement en vraie production.</t>
  </si>
  <si>
    <t>P044</t>
  </si>
  <si>
    <t>lasagnes lentilles</t>
  </si>
  <si>
    <t>Transformer un plat apprécié en alternative végétarienne.</t>
  </si>
  <si>
    <t>Remplacer viande par lentilles, légumes et sauce tomate ; contrôler fromage et sel.</t>
  </si>
  <si>
    <t>Lasagnes lentilles courgettes tomate.</t>
  </si>
  <si>
    <t>Lentilles + lait</t>
  </si>
  <si>
    <t>Trop lourd ou trop liquide.</t>
  </si>
  <si>
    <t>Standardiser viscosité sauce et temps repos.</t>
  </si>
  <si>
    <t>Satisfaction lasagnes végétales</t>
  </si>
  <si>
    <t>Quel est le point clé pour réussir lasagnes lentilles ?</t>
  </si>
  <si>
    <t>Comment valider lasagnes lentilles en production ?</t>
  </si>
  <si>
    <t>lasagnes lentilles n’est validé que si le plat sort correctement en vraie production.</t>
  </si>
  <si>
    <t>P045</t>
  </si>
  <si>
    <t>Galette maison</t>
  </si>
  <si>
    <t>galette céréales légumineuses</t>
  </si>
  <si>
    <t>Créer une alternative portionnable sans dépendre uniquement de l’industriel.</t>
  </si>
  <si>
    <t>Tester galette lentilles/riz ou pois chiches/boulgour avec liant adapté.</t>
  </si>
  <si>
    <t>Galette lentilles-riz, sauce yaourt herbes.</t>
  </si>
  <si>
    <t>Tenue fragile en production grande série.</t>
  </si>
  <si>
    <t>Tester en four, cellule et remise en température.</t>
  </si>
  <si>
    <t>Taux casse + restes</t>
  </si>
  <si>
    <t>Quel est le point clé pour réussir galette céréales légumineuses ?</t>
  </si>
  <si>
    <t>Comment valider galette céréales légumineuses en production ?</t>
  </si>
  <si>
    <t>galette céréales légumineuses n’est validé que si le plat sort correctement en vraie production.</t>
  </si>
  <si>
    <t>P046</t>
  </si>
  <si>
    <t>Burger végétal</t>
  </si>
  <si>
    <t>burger lentilles</t>
  </si>
  <si>
    <t>Utiliser un format connu pour lever le frein de nouveauté.</t>
  </si>
  <si>
    <t>Construire steak lentilles ou haricots, pain, crudités, sauce maîtrisée.</t>
  </si>
  <si>
    <t>Burger lentilles, salade, sauce fromage blanc.</t>
  </si>
  <si>
    <t>Lentilles / haricots</t>
  </si>
  <si>
    <t>Adolescents</t>
  </si>
  <si>
    <t>Pain + féculent trop lourd, steak sec.</t>
  </si>
  <si>
    <t>Adapter accompagnement et humidité du steak.</t>
  </si>
  <si>
    <t>Satisfaction burger végétal</t>
  </si>
  <si>
    <t>Quel est le point clé pour réussir burger lentilles ?</t>
  </si>
  <si>
    <t>Comment valider burger lentilles en production ?</t>
  </si>
  <si>
    <t>burger lentilles n’est validé que si le plat sort correctement en vraie production.</t>
  </si>
  <si>
    <t>P047</t>
  </si>
  <si>
    <t>Salade complète</t>
  </si>
  <si>
    <t>salade protéinée végétale</t>
  </si>
  <si>
    <t>Créer une offre froide complète pour périodes chaudes.</t>
  </si>
  <si>
    <t>Associer légumineuse, céréale, légumes, sauce, herbes et option laitière.</t>
  </si>
  <si>
    <t>Salade pois chiches, boulgour, concombre, tomate, feta.</t>
  </si>
  <si>
    <t>Pois chiches + céréales</t>
  </si>
  <si>
    <t>Adultes / lycée</t>
  </si>
  <si>
    <t>Manque de satiété ou sauce insuffisante.</t>
  </si>
  <si>
    <t>Contrôler grammage et assaisonnement au dernier moment.</t>
  </si>
  <si>
    <t>Taux de prise salade</t>
  </si>
  <si>
    <t>Quel est le point clé pour réussir salade protéinée végétale ?</t>
  </si>
  <si>
    <t>Comment valider salade protéinée végétale en production ?</t>
  </si>
  <si>
    <t>salade protéinée végétale n’est validé que si le plat sort correctement en vraie production.</t>
  </si>
  <si>
    <t>P048</t>
  </si>
  <si>
    <t>Potage enrichi</t>
  </si>
  <si>
    <t>potage légumineuses</t>
  </si>
  <si>
    <t>Améliorer l’apport protéique d’un potage du soir ou repas léger.</t>
  </si>
  <si>
    <t>Ajouter lentilles corail, pois cassés ou haricots blancs mixés.</t>
  </si>
  <si>
    <t>Velouté carotte-lentilles corail.</t>
  </si>
  <si>
    <t>Lentilles corail / pois cassés</t>
  </si>
  <si>
    <t>EHPAD / scolaire</t>
  </si>
  <si>
    <t>Texture trop épaisse pour certains publics.</t>
  </si>
  <si>
    <t>Adapter texture, hydratation et consignes de service.</t>
  </si>
  <si>
    <t>Consommation potage enrichi</t>
  </si>
  <si>
    <t>Quel est le point clé pour réussir potage légumineuses ?</t>
  </si>
  <si>
    <t>Comment valider potage légumineuses en production ?</t>
  </si>
  <si>
    <t>potage légumineuses n’est validé que si le plat sort correctement en vraie production.</t>
  </si>
  <si>
    <t>P049</t>
  </si>
  <si>
    <t>Tartinade</t>
  </si>
  <si>
    <t>houmous</t>
  </si>
  <si>
    <t>Proposer une entrée protéinée simple et attractive.</t>
  </si>
  <si>
    <t>Préparer houmous pois chiches ou haricots blancs avec crudités ou pain.</t>
  </si>
  <si>
    <t>Houmous, bâtonnets de légumes, pain.</t>
  </si>
  <si>
    <t>Allergène sésame si tahin.</t>
  </si>
  <si>
    <t>Prévoir version sans sésame si nécessaire et afficher allergènes.</t>
  </si>
  <si>
    <t>Taux de consommation entrée</t>
  </si>
  <si>
    <t>Quel est le point clé pour réussir houmous ?</t>
  </si>
  <si>
    <t>Comment valider houmous en production ?</t>
  </si>
  <si>
    <t>houmous n’est validé que si le plat sort correctement en vraie production.</t>
  </si>
  <si>
    <t>P050</t>
  </si>
  <si>
    <t>Boulettes végétales</t>
  </si>
  <si>
    <t>boulettes lentilles</t>
  </si>
  <si>
    <t>Créer une portion facile à servir et à compter.</t>
  </si>
  <si>
    <t>Tester mélange lentilles, légumes, céréales, cuisson four, sauce nappante.</t>
  </si>
  <si>
    <t>Boulettes lentilles sauce tomate et semoule.</t>
  </si>
  <si>
    <t>Lentilles + céréales</t>
  </si>
  <si>
    <t>Boulettes sèches ou friables.</t>
  </si>
  <si>
    <t>Sauce obligatoire + essai tenue en volume.</t>
  </si>
  <si>
    <t>Taux casse / restes</t>
  </si>
  <si>
    <t>Quel est le point clé pour réussir boulettes lentilles ?</t>
  </si>
  <si>
    <t>Comment valider boulettes lentilles en production ?</t>
  </si>
  <si>
    <t>boulettes lentilles n’est validé que si le plat sort correctement en vraie production.</t>
  </si>
  <si>
    <t>P051</t>
  </si>
  <si>
    <t>Sauces</t>
  </si>
  <si>
    <t>sauce protéinée</t>
  </si>
  <si>
    <t>Améliorer goût, humidité et acceptabilité des plats végétaux.</t>
  </si>
  <si>
    <t>Prévoir sauce tomate, curry, yaourt, herbes, bouillon ou jus de légumes selon recette.</t>
  </si>
  <si>
    <t>Sauce tomate épicée douce sur haricots rouges.</t>
  </si>
  <si>
    <t>Cuisine</t>
  </si>
  <si>
    <t>Plat sec, fade ou peu nappé.</t>
  </si>
  <si>
    <t>Inclure sauce dans la fiche technique, pas en option.</t>
  </si>
  <si>
    <t>Note organoleptique interne</t>
  </si>
  <si>
    <t>Quel est le point clé pour réussir sauce protéinée ?</t>
  </si>
  <si>
    <t>Comment valider sauce protéinée en production ?</t>
  </si>
  <si>
    <t>sauce protéinée n’est validé que si le plat sort correctement en vraie production.</t>
  </si>
  <si>
    <t>P052</t>
  </si>
  <si>
    <t>Complémentarité</t>
  </si>
  <si>
    <t>association céréale légumineuse</t>
  </si>
  <si>
    <t>Construire des plats complets sans surcharger l’assiette.</t>
  </si>
  <si>
    <t>Associer légumineuses et céréales avec légumes et sauce.</t>
  </si>
  <si>
    <t>Riz + lentilles + légumes rôtis.</t>
  </si>
  <si>
    <t>Plat très féculent et peu lisible.</t>
  </si>
  <si>
    <t>Travailler proportions, couleur, sauce et nom du plat.</t>
  </si>
  <si>
    <t>Nombre menus complets validés</t>
  </si>
  <si>
    <t>Faire relier aliment, portion, public, contrainte et preuve.</t>
  </si>
  <si>
    <t>La nutrition doit rester pratique et vérifiable.</t>
  </si>
  <si>
    <t>Pourquoi contrôler association céréale légumineuse ?</t>
  </si>
  <si>
    <t>Pour éviter les raccourcis et sécuriser l’équilibre réel du repas.</t>
  </si>
  <si>
    <t>Comment utiliser association céréale légumineuse dans un moteur ?</t>
  </si>
  <si>
    <t>Comme critère de contrôle, question pédagogique ou alerte formateur.</t>
  </si>
  <si>
    <t>association céréale légumineuse doit être traduit en règle simple et contrôlable.</t>
  </si>
  <si>
    <t>P053</t>
  </si>
  <si>
    <t>Qualité protéique</t>
  </si>
  <si>
    <t>acides aminés</t>
  </si>
  <si>
    <t>Former à la notion de qualité protéique sans discours trop technique.</t>
  </si>
  <si>
    <t>Expliquer simplement que varier les sources améliore l’équilibre global.</t>
  </si>
  <si>
    <t>Comparer lentilles seules, lentilles/riz, œuf/légumineuse.</t>
  </si>
  <si>
    <t>Formateur</t>
  </si>
  <si>
    <t>Notion trop scolaire pour équipes terrain.</t>
  </si>
  <si>
    <t>Utiliser exemples d’assiettes et non schémas abstraits.</t>
  </si>
  <si>
    <t>Quiz qualité protéique réussi</t>
  </si>
  <si>
    <t>Pourquoi contrôler acides aminés ?</t>
  </si>
  <si>
    <t>Comment utiliser acides aminés dans un moteur ?</t>
  </si>
  <si>
    <t>acides aminés doit être traduit en règle simple et contrôlable.</t>
  </si>
  <si>
    <t>P054</t>
  </si>
  <si>
    <t>Les apports en protéines selon les catégories d’aliments.</t>
  </si>
  <si>
    <t>Apports par aliment</t>
  </si>
  <si>
    <t>teneur protéines</t>
  </si>
  <si>
    <t>Vérifier les apports avec une table de composition fiable.</t>
  </si>
  <si>
    <t>Utiliser Ciqual pour comparer aliments bruts et transformés.</t>
  </si>
  <si>
    <t>Comparer lentilles cuites, pois chiches, tofu, œuf, poisson.</t>
  </si>
  <si>
    <t>Formateur / diététique</t>
  </si>
  <si>
    <t>Chiffres repris sans source ou avec aliments crus/cuits confondus.</t>
  </si>
  <si>
    <t>Toujours préciser cru/cuit et portion réelle.</t>
  </si>
  <si>
    <t>Fiches avec source Ciqual</t>
  </si>
  <si>
    <t>Pourquoi contrôler teneur protéines ?</t>
  </si>
  <si>
    <t>Comment utiliser teneur protéines dans un moteur ?</t>
  </si>
  <si>
    <t>teneur protéines doit être traduit en règle simple et contrôlable.</t>
  </si>
  <si>
    <t>P055</t>
  </si>
  <si>
    <t>Fibres</t>
  </si>
  <si>
    <t>fibres légumineuses</t>
  </si>
  <si>
    <t>Valoriser les légumes secs sans négliger tolérance digestive.</t>
  </si>
  <si>
    <t>Introduire progressivement et adapter cuisson/portion.</t>
  </si>
  <si>
    <t>Petite portion de lentilles en accompagnement avant plat complet.</t>
  </si>
  <si>
    <t>Ballonnements ou refus si montée trop rapide.</t>
  </si>
  <si>
    <t>Progressivité, cuisson complète, portions adaptées.</t>
  </si>
  <si>
    <t>Nombre refus digestifs signalés</t>
  </si>
  <si>
    <t>Pourquoi contrôler fibres légumineuses ?</t>
  </si>
  <si>
    <t>Comment utiliser fibres légumineuses dans un moteur ?</t>
  </si>
  <si>
    <t>fibres légumineuses doit être traduit en règle simple et contrôlable.</t>
  </si>
  <si>
    <t>P056</t>
  </si>
  <si>
    <t>Fer végétal</t>
  </si>
  <si>
    <t>fer vitamine c</t>
  </si>
  <si>
    <t>Améliorer la lecture nutritionnelle des plats végétaux.</t>
  </si>
  <si>
    <t>Associer source de vitamine C ou légumes/fruits avec légumineuses.</t>
  </si>
  <si>
    <t>Lentilles + salade d’agrumes ou fruit en dessert.</t>
  </si>
  <si>
    <t>Raccourci protéine = seul critère.</t>
  </si>
  <si>
    <t>Raisonner repas complet : fer, fibres, énergie, calcium selon public.</t>
  </si>
  <si>
    <t>Repas végétal validé nutrition</t>
  </si>
  <si>
    <t>Pourquoi contrôler fer vitamine c ?</t>
  </si>
  <si>
    <t>Comment utiliser fer vitamine c dans un moteur ?</t>
  </si>
  <si>
    <t>fer vitamine c doit être traduit en règle simple et contrôlable.</t>
  </si>
  <si>
    <t>P057</t>
  </si>
  <si>
    <t>Sel</t>
  </si>
  <si>
    <t>sel substituts végétaux</t>
  </si>
  <si>
    <t>Contrôler le sel dans les produits transformés végétaux.</t>
  </si>
  <si>
    <t>Comparer étiquettes et limiter produits très salés.</t>
  </si>
  <si>
    <t>Steak végétal choisi seulement si sel et allergènes acceptables.</t>
  </si>
  <si>
    <t>Acheteur</t>
  </si>
  <si>
    <t>Produit végétal perçu automatiquement sain.</t>
  </si>
  <si>
    <t>Lire la fiche technique avant référencement.</t>
  </si>
  <si>
    <t>% produits avec grille nutrition</t>
  </si>
  <si>
    <t>Pourquoi contrôler sel substituts végétaux ?</t>
  </si>
  <si>
    <t>Comment utiliser sel substituts végétaux dans un moteur ?</t>
  </si>
  <si>
    <t>sel substituts végétaux doit être traduit en règle simple et contrôlable.</t>
  </si>
  <si>
    <t>P058</t>
  </si>
  <si>
    <t>Matières grasses</t>
  </si>
  <si>
    <t>lipides sauce végétale</t>
  </si>
  <si>
    <t>Éviter de compenser le manque de goût par trop de gras.</t>
  </si>
  <si>
    <t>Mesurer les sauces, fromages, huiles et produits de panure.</t>
  </si>
  <si>
    <t>Burger végétal avec sauce yaourt plutôt que sauce grasse systématique.</t>
  </si>
  <si>
    <t>Recette végétale trop calorique ou lourde.</t>
  </si>
  <si>
    <t>Reformuler sauce et cuisson.</t>
  </si>
  <si>
    <t>Contrôle fiche technique lipides</t>
  </si>
  <si>
    <t>Pourquoi contrôler lipides sauce végétale ?</t>
  </si>
  <si>
    <t>Comment utiliser lipides sauce végétale dans un moteur ?</t>
  </si>
  <si>
    <t>lipides sauce végétale doit être traduit en règle simple et contrôlable.</t>
  </si>
  <si>
    <t>P059</t>
  </si>
  <si>
    <t>Portion</t>
  </si>
  <si>
    <t>grammage portion protéique</t>
  </si>
  <si>
    <t>Adapter la portion au public et à la recette.</t>
  </si>
  <si>
    <t>S’appuyer sur recommandations nutritionnelles et fiches techniques adaptées.</t>
  </si>
  <si>
    <t>Portion légumineuses adaptée maternelle vs collège.</t>
  </si>
  <si>
    <t>Diététique / cuisine</t>
  </si>
  <si>
    <t>Même portion pour tous les publics.</t>
  </si>
  <si>
    <t>Créer repères par tranche d’âge ou public.</t>
  </si>
  <si>
    <t>Fiches grammages validées</t>
  </si>
  <si>
    <t>Pourquoi contrôler grammage portion protéique ?</t>
  </si>
  <si>
    <t>Comment utiliser grammage portion protéique dans un moteur ?</t>
  </si>
  <si>
    <t>grammage portion protéique doit être traduit en règle simple et contrôlable.</t>
  </si>
  <si>
    <t>P060</t>
  </si>
  <si>
    <t>B12 et régimes</t>
  </si>
  <si>
    <t>vitamine b12 végétarien</t>
  </si>
  <si>
    <t>Ne pas laisser croire qu’un plan végétal règle tous les besoins nutritionnels.</t>
  </si>
  <si>
    <t>Orienter vers expertise diététique pour menus végétariens stricts ou publics fragiles.</t>
  </si>
  <si>
    <t>Menus végétaliens non généralisés sans validation nutritionnelle.</t>
  </si>
  <si>
    <t>Végétal strict</t>
  </si>
  <si>
    <t>Publics fragiles</t>
  </si>
  <si>
    <t>Confusion végétarien/végétalien.</t>
  </si>
  <si>
    <t>Distinguer ovo-lacto-végétarien, végétalien et menus avec œufs/lait.</t>
  </si>
  <si>
    <t>Menus fragiles validés</t>
  </si>
  <si>
    <t>Pourquoi contrôler vitamine b12 végétarien ?</t>
  </si>
  <si>
    <t>Comment utiliser vitamine b12 végétarien dans un moteur ?</t>
  </si>
  <si>
    <t>vitamine b12 végétarien doit être traduit en règle simple et contrôlable.</t>
  </si>
  <si>
    <t>P061</t>
  </si>
  <si>
    <t>Équilibre global</t>
  </si>
  <si>
    <t>repas équilibré végétarien</t>
  </si>
  <si>
    <t>Vérifier le repas complet, pas seulement le plat principal.</t>
  </si>
  <si>
    <t>Contrôler entrée, plat, accompagnement, produit laitier ou équivalent, dessert.</t>
  </si>
  <si>
    <t>Dahl + riz + crudités + laitage + fruit.</t>
  </si>
  <si>
    <t>Plat principal correct mais repas déséquilibré.</t>
  </si>
  <si>
    <t>Auditer la journée ou le cycle.</t>
  </si>
  <si>
    <t>Menus végétariens équilibrés</t>
  </si>
  <si>
    <t>Pourquoi contrôler repas équilibré végétarien ?</t>
  </si>
  <si>
    <t>Comment utiliser repas équilibré végétarien dans un moteur ?</t>
  </si>
  <si>
    <t>repas équilibré végétarien doit être traduit en règle simple et contrôlable.</t>
  </si>
  <si>
    <t>P062</t>
  </si>
  <si>
    <t>TRONC_COMMUN</t>
  </si>
  <si>
    <t>Trempage</t>
  </si>
  <si>
    <t>trempage légumineuses</t>
  </si>
  <si>
    <t>Sécuriser les temps de préparation des légumes secs.</t>
  </si>
  <si>
    <t>Planifier trempage, égouttage, cuisson et refroidissement si nécessaire.</t>
  </si>
  <si>
    <t>Haricots secs trempés la veille selon procédure interne.</t>
  </si>
  <si>
    <t>Haricots, pois chiches</t>
  </si>
  <si>
    <t>Oubli de trempage ou improvisation.</t>
  </si>
  <si>
    <t>Prévoir planning J-1 et alternatives conserve/surgelé.</t>
  </si>
  <si>
    <t>Taux incidents préparation</t>
  </si>
  <si>
    <t>Faire repérer le point critique de production puis la correction.</t>
  </si>
  <si>
    <t>La réussite dépend de la répétabilité du geste.</t>
  </si>
  <si>
    <t>Quel risque terrain sur trempage légumineuses ?</t>
  </si>
  <si>
    <t>Un défaut technique peut provoquer refus, retard ou non-conformité.</t>
  </si>
  <si>
    <t>Quelle preuve garder pour trempage légumineuses ?</t>
  </si>
  <si>
    <t>Fiche technique, relevé, test volume, retour convive ou contrôle final selon le cas.</t>
  </si>
  <si>
    <t>trempage légumineuses doit être visible dans l’organisation, pas seulement dans la recette.</t>
  </si>
  <si>
    <t>P063</t>
  </si>
  <si>
    <t>Cuisson</t>
  </si>
  <si>
    <t>cuisson légumineuses</t>
  </si>
  <si>
    <t>Obtenir une texture régulière et acceptable.</t>
  </si>
  <si>
    <t>Standardiser temps, sel, aromates, contrôle texture et refroidissement.</t>
  </si>
  <si>
    <t>Test texture toutes les 10 minutes en fin de cuisson.</t>
  </si>
  <si>
    <t>Lot trop dur ou éclaté.</t>
  </si>
  <si>
    <t>Fiche cuisson par produit et lot.</t>
  </si>
  <si>
    <t>Conformité texture</t>
  </si>
  <si>
    <t>Quel risque terrain sur cuisson légumineuses ?</t>
  </si>
  <si>
    <t>Quelle preuve garder pour cuisson légumineuses ?</t>
  </si>
  <si>
    <t>cuisson légumineuses doit être visible dans l’organisation, pas seulement dans la recette.</t>
  </si>
  <si>
    <t>P064</t>
  </si>
  <si>
    <t>Assaisonnement</t>
  </si>
  <si>
    <t>assaisonnement végétal</t>
  </si>
  <si>
    <t>Éviter la fadeur, cause majeure de refus.</t>
  </si>
  <si>
    <t>Tester acidité, herbes, épices douces, bouillon, sauce et sel maîtrisé.</t>
  </si>
  <si>
    <t>Citron, cumin doux, persil dans salade pois chiches.</t>
  </si>
  <si>
    <t>Toutes sources végétales</t>
  </si>
  <si>
    <t>Plat végétal neutre.</t>
  </si>
  <si>
    <t>Dégustation interne obligatoire avant service.</t>
  </si>
  <si>
    <t>Note dégustation interne</t>
  </si>
  <si>
    <t>Quel risque terrain sur assaisonnement végétal ?</t>
  </si>
  <si>
    <t>Quelle preuve garder pour assaisonnement végétal ?</t>
  </si>
  <si>
    <t>assaisonnement végétal doit être visible dans l’organisation, pas seulement dans la recette.</t>
  </si>
  <si>
    <t>P065</t>
  </si>
  <si>
    <t>Texture</t>
  </si>
  <si>
    <t>texture végétale</t>
  </si>
  <si>
    <t>Maîtriser le ressenti en bouche des recettes végétales.</t>
  </si>
  <si>
    <t>Travailler sauce, croquant, fondant, taille de coupe et cuisson.</t>
  </si>
  <si>
    <t>Lentilles fondantes + légumes rôtis + topping herbes.</t>
  </si>
  <si>
    <t>Plat pâteux ou sec.</t>
  </si>
  <si>
    <t>Introduire contraste et humidité contrôlée.</t>
  </si>
  <si>
    <t>Commentaires texture</t>
  </si>
  <si>
    <t>Quel risque terrain sur texture végétale ?</t>
  </si>
  <si>
    <t>Quelle preuve garder pour texture végétale ?</t>
  </si>
  <si>
    <t>texture végétale doit être visible dans l’organisation, pas seulement dans la recette.</t>
  </si>
  <si>
    <t>P066</t>
  </si>
  <si>
    <t>Liaison froide</t>
  </si>
  <si>
    <t>liaison froide plat végétal</t>
  </si>
  <si>
    <t>Valider la tenue des recettes végétales en process froid.</t>
  </si>
  <si>
    <t>Tester refroidissement, conditionnement, remise en température et sauce.</t>
  </si>
  <si>
    <t>Dahl conditionné avec sauce suffisante pour éviter dessèchement.</t>
  </si>
  <si>
    <t>Recette bonne en direct mais mauvaise après remise en température.</t>
  </si>
  <si>
    <t>Test en vraie liaison froide avant déploiement.</t>
  </si>
  <si>
    <t>Écart qualité direct / remis en œuvre</t>
  </si>
  <si>
    <t>Quel risque terrain sur liaison froide plat végétal ?</t>
  </si>
  <si>
    <t>Quelle preuve garder pour liaison froide plat végétal ?</t>
  </si>
  <si>
    <t>liaison froide plat végétal doit être visible dans l’organisation, pas seulement dans la recette.</t>
  </si>
  <si>
    <t>P067</t>
  </si>
  <si>
    <t>Maintien chaud</t>
  </si>
  <si>
    <t>maintien température végétal</t>
  </si>
  <si>
    <t>Préserver sécurité et qualité en service.</t>
  </si>
  <si>
    <t>Contrôler température, dessèchement, temps d’attente et brassage.</t>
  </si>
  <si>
    <t>Chili maintenu nappant sans réduction excessive.</t>
  </si>
  <si>
    <t>Service</t>
  </si>
  <si>
    <t>Dessèchement ou croûte en bac.</t>
  </si>
  <si>
    <t>Ajouter sauce, couvercle, bacs adaptés, temps de service réduit.</t>
  </si>
  <si>
    <t>Température + qualité en fin de service</t>
  </si>
  <si>
    <t>Quel risque terrain sur maintien température végétal ?</t>
  </si>
  <si>
    <t>Quelle preuve garder pour maintien température végétal ?</t>
  </si>
  <si>
    <t>maintien température végétal doit être visible dans l’organisation, pas seulement dans la recette.</t>
  </si>
  <si>
    <t>P068</t>
  </si>
  <si>
    <t>Fiche technique</t>
  </si>
  <si>
    <t>fiche technique végétarienne</t>
  </si>
  <si>
    <t>Transformer chaque recette en fiche reproductible.</t>
  </si>
  <si>
    <t>Renseigner ingrédients, grammages, allergènes, coût, procédé, photos si utile.</t>
  </si>
  <si>
    <t>Fiche dahl avec grammages 100 portions et points critiques.</t>
  </si>
  <si>
    <t>Cuisine / formateur</t>
  </si>
  <si>
    <t>Recette dépend d’un agent expérimenté.</t>
  </si>
  <si>
    <t>Écrire la fiche pour un remplaçant.</t>
  </si>
  <si>
    <t>% recettes pilotes avec fiche validée</t>
  </si>
  <si>
    <t>Quel risque terrain sur fiche technique végétarienne ?</t>
  </si>
  <si>
    <t>Quelle preuve garder pour fiche technique végétarienne ?</t>
  </si>
  <si>
    <t>fiche technique végétarienne doit être visible dans l’organisation, pas seulement dans la recette.</t>
  </si>
  <si>
    <t>P069</t>
  </si>
  <si>
    <t>Test volume</t>
  </si>
  <si>
    <t>essai production volume</t>
  </si>
  <si>
    <t>Éviter les recettes validées seulement en petit volume.</t>
  </si>
  <si>
    <t>Produire un lot pilote à 50 ou 100 portions avant généralisation.</t>
  </si>
  <si>
    <t>Boulettes végétales testées 80 portions puis 500 portions.</t>
  </si>
  <si>
    <t>Échec au changement d’échelle.</t>
  </si>
  <si>
    <t>Palier de test obligatoire.</t>
  </si>
  <si>
    <t>Nombre essais volume réussis</t>
  </si>
  <si>
    <t>Quel risque terrain sur essai production volume ?</t>
  </si>
  <si>
    <t>Quelle preuve garder pour essai production volume ?</t>
  </si>
  <si>
    <t>essai production volume doit être visible dans l’organisation, pas seulement dans la recette.</t>
  </si>
  <si>
    <t>P070</t>
  </si>
  <si>
    <t>Contrôle final</t>
  </si>
  <si>
    <t>dégustation avant service</t>
  </si>
  <si>
    <t>Instaurer un contrôle organoleptique avant distribution.</t>
  </si>
  <si>
    <t>Déguster chaud, vérifier texture, assaisonnement, température et visuel.</t>
  </si>
  <si>
    <t>Responsable valide le chili avant mise en ligne.</t>
  </si>
  <si>
    <t>Le plat part sans correction possible.</t>
  </si>
  <si>
    <t>Point dégustation 20 minutes avant service.</t>
  </si>
  <si>
    <t>Nombre corrections avant service</t>
  </si>
  <si>
    <t>Quel risque terrain sur dégustation avant service ?</t>
  </si>
  <si>
    <t>Quelle preuve garder pour dégustation avant service ?</t>
  </si>
  <si>
    <t>dégustation avant service doit être visible dans l’organisation, pas seulement dans la recette.</t>
  </si>
  <si>
    <t>P071</t>
  </si>
  <si>
    <t>Traçabilité</t>
  </si>
  <si>
    <t>traçabilité recette protéine</t>
  </si>
  <si>
    <t>Assurer origine, lot, allergènes et conformité recette.</t>
  </si>
  <si>
    <t>Archiver fiches produits, lots et version de recette.</t>
  </si>
  <si>
    <t>Lot pois chiches + fiche allergènes conservés avec production du jour.</t>
  </si>
  <si>
    <t>Substitution fournisseur non tracée.</t>
  </si>
  <si>
    <t>Procédure de remplacement avec validation allergènes.</t>
  </si>
  <si>
    <t>Fiches lots complètes</t>
  </si>
  <si>
    <t>Quel risque terrain sur traçabilité recette protéine ?</t>
  </si>
  <si>
    <t>Quelle preuve garder pour traçabilité recette protéine ?</t>
  </si>
  <si>
    <t>traçabilité recette protéine doit être visible dans l’organisation, pas seulement dans la recette.</t>
  </si>
  <si>
    <t>P072</t>
  </si>
  <si>
    <t>Construction de son propre plan pluriannuel de diversiﬁcation des sources de protéines.</t>
  </si>
  <si>
    <t>Marchés publics</t>
  </si>
  <si>
    <t>clause protéines végétales</t>
  </si>
  <si>
    <t>Intégrer la diversification dans les marchés ou consultations.</t>
  </si>
  <si>
    <t>Demander références légumineuses, produits bruts, surgelés, bio/local selon besoin.</t>
  </si>
  <si>
    <t>Lot épicerie : lentilles, pois chiches, haricots ; lot produits frais : tofu selon sites.</t>
  </si>
  <si>
    <t>Marché actuel ne permet pas d’acheter les bons produits.</t>
  </si>
  <si>
    <t>Préparer clauses et variantes avant renouvellement.</t>
  </si>
  <si>
    <t>% marchés avec offre végétale adaptée</t>
  </si>
  <si>
    <t>ma-cantine - Guide pratique prestations intégrant des produits durables et de qualité | https://ma-cantine.agriculture.gouv.fr/static/documents/Guide_Pratique_pour_des_Prestations_Int%C3%A9grant_des_Produits_Durables_et_de_Qualit%C3%A9.pdf</t>
  </si>
  <si>
    <t>Faire relier achat, production et menu.</t>
  </si>
  <si>
    <t>L’achat doit servir la recette réelle, pas une intention.</t>
  </si>
  <si>
    <t>Pourquoi intégrer clause protéines végétales au plan ?</t>
  </si>
  <si>
    <t>Pour garantir disponibilité, coût maîtrisé et conformité.</t>
  </si>
  <si>
    <t>Quel contrôle professionnel sur clause protéines végétales ?</t>
  </si>
  <si>
    <t>Fiche technique, volume, prix portion, allergènes, origine et régularité fournisseur.</t>
  </si>
  <si>
    <t>clause protéines végétales doit être validé avant le lancement du menu.</t>
  </si>
  <si>
    <t>P073</t>
  </si>
  <si>
    <t>Filière locale</t>
  </si>
  <si>
    <t>légumineuses locales</t>
  </si>
  <si>
    <t>Structurer progressivement un approvisionnement territorial.</t>
  </si>
  <si>
    <t>Identifier producteurs, plateformes, volumes, calibres et capacités de transformation.</t>
  </si>
  <si>
    <t>Lentilles locales commandées trimestriellement après test qualité.</t>
  </si>
  <si>
    <t>Collectivité</t>
  </si>
  <si>
    <t>Volumes irréguliers ou prix supérieur.</t>
  </si>
  <si>
    <t>Planifier volumes et accepter montée progressive.</t>
  </si>
  <si>
    <t>Part légumineuses locales</t>
  </si>
  <si>
    <t>Pourquoi intégrer légumineuses locales au plan ?</t>
  </si>
  <si>
    <t>Quel contrôle professionnel sur légumineuses locales ?</t>
  </si>
  <si>
    <t>légumineuses locales doit être validé avant le lancement du menu.</t>
  </si>
  <si>
    <t>P074</t>
  </si>
  <si>
    <t>Stockage sec</t>
  </si>
  <si>
    <t>stock légumineuses sèches</t>
  </si>
  <si>
    <t>LOGISTIQUE</t>
  </si>
  <si>
    <t>Sécuriser les stocks sans créer de surstock dormant.</t>
  </si>
  <si>
    <t>Définir stock minimum, DDM, rotation FIFO et contenants adaptés.</t>
  </si>
  <si>
    <t>Stock lentilles vertes deux mois maximum avec contrôle DDM.</t>
  </si>
  <si>
    <t>Légumineuses sèches</t>
  </si>
  <si>
    <t>Achat massif non utilisé.</t>
  </si>
  <si>
    <t>Relier stock au cycle de menus validé.</t>
  </si>
  <si>
    <t>Taux rotation stock sec</t>
  </si>
  <si>
    <t>Pourquoi intégrer stock légumineuses sèches au plan ?</t>
  </si>
  <si>
    <t>Quel contrôle professionnel sur stock légumineuses sèches ?</t>
  </si>
  <si>
    <t>stock légumineuses sèches doit être validé avant le lancement du menu.</t>
  </si>
  <si>
    <t>P075</t>
  </si>
  <si>
    <t>Rupture fournisseur</t>
  </si>
  <si>
    <t>alternative fournisseur</t>
  </si>
  <si>
    <t>RISQUE</t>
  </si>
  <si>
    <t>Prévoir des alternatives sans improviser le jour même.</t>
  </si>
  <si>
    <t>Lister substitution sécurisée par recette : conserve, surgelé, autre légumineuse.</t>
  </si>
  <si>
    <t>Pois chiches indisponibles : haricots blancs validés pour salade.</t>
  </si>
  <si>
    <t>Cuisine / achat</t>
  </si>
  <si>
    <t>Substitution change allergènes, coût ou texture.</t>
  </si>
  <si>
    <t>Valider substitutions dans fiche technique.</t>
  </si>
  <si>
    <t>Nombre ruptures sans menu modifié</t>
  </si>
  <si>
    <t>Pourquoi intégrer alternative fournisseur au plan ?</t>
  </si>
  <si>
    <t>Quel contrôle professionnel sur alternative fournisseur ?</t>
  </si>
  <si>
    <t>alternative fournisseur doit être validé avant le lancement du menu.</t>
  </si>
  <si>
    <t>P076</t>
  </si>
  <si>
    <t>Coût global</t>
  </si>
  <si>
    <t>budget protéines</t>
  </si>
  <si>
    <t>Piloter le budget global du plan, pas recette isolée.</t>
  </si>
  <si>
    <t>Comparer économie viande réduite, coût produits durables, formation, gaspillage.</t>
  </si>
  <si>
    <t>Économie sur haché réaffectée à légumes secs bio et formation assaisonnement.</t>
  </si>
  <si>
    <t>Gain matière absorbé par déchets ou main-d’œuvre.</t>
  </si>
  <si>
    <t>Suivre coût complet sur recettes pilotes.</t>
  </si>
  <si>
    <t>Coût complet par repas</t>
  </si>
  <si>
    <t>Pourquoi intégrer budget protéines au plan ?</t>
  </si>
  <si>
    <t>Quel contrôle professionnel sur budget protéines ?</t>
  </si>
  <si>
    <t>budget protéines doit être validé avant le lancement du menu.</t>
  </si>
  <si>
    <t>P077</t>
  </si>
  <si>
    <t>Fournisseur</t>
  </si>
  <si>
    <t>fiche technique fournisseur</t>
  </si>
  <si>
    <t>Exiger des fiches techniques exploitables.</t>
  </si>
  <si>
    <t>Contrôler ingrédients, allergènes, valeurs nutritionnelles, origine, conditionnement.</t>
  </si>
  <si>
    <t>Steak végétal refusé car allergènes multiples et sel élevé.</t>
  </si>
  <si>
    <t>Produit référencé sans analyse.</t>
  </si>
  <si>
    <t>Grille d’acceptation fournisseur.</t>
  </si>
  <si>
    <t>% fiches fournisseur complètes</t>
  </si>
  <si>
    <t>Pourquoi intégrer fiche technique fournisseur au plan ?</t>
  </si>
  <si>
    <t>Quel contrôle professionnel sur fiche technique fournisseur ?</t>
  </si>
  <si>
    <t>fiche technique fournisseur doit être validé avant le lancement du menu.</t>
  </si>
  <si>
    <t>P078</t>
  </si>
  <si>
    <t>Conditionnement</t>
  </si>
  <si>
    <t>conditionnement adapté</t>
  </si>
  <si>
    <t>Choisir des formats compatibles avec production.</t>
  </si>
  <si>
    <t>Comparer sec, conserve, surgelé, prêt à l’emploi selon coût, temps et déchets.</t>
  </si>
  <si>
    <t>Pois chiches conserve pour petite cuisine ; sec pour centrale équipée.</t>
  </si>
  <si>
    <t>Format économique mais inutilisable.</t>
  </si>
  <si>
    <t>Choisir le format selon matériel et volume.</t>
  </si>
  <si>
    <t>Incidents liés au conditionnement</t>
  </si>
  <si>
    <t>Pourquoi intégrer conditionnement adapté au plan ?</t>
  </si>
  <si>
    <t>Quel contrôle professionnel sur conditionnement adapté ?</t>
  </si>
  <si>
    <t>conditionnement adapté doit être validé avant le lancement du menu.</t>
  </si>
  <si>
    <t>P079</t>
  </si>
  <si>
    <t>Qualité durable</t>
  </si>
  <si>
    <t>bio durable egalim</t>
  </si>
  <si>
    <t>Relier qualité durable et diversification sans rendre le plan irréaliste.</t>
  </si>
  <si>
    <t>Identifier produits végétaux éligibles aux objectifs qualité quand possible.</t>
  </si>
  <si>
    <t>Lentilles bio dans deux menus mensuels.</t>
  </si>
  <si>
    <t>Objectifs trop ambitieux dès année 1.</t>
  </si>
  <si>
    <t>Progression par paliers et sourcing vérifié.</t>
  </si>
  <si>
    <t>% protéines végétales qualité/durable</t>
  </si>
  <si>
    <t>Pourquoi intégrer bio durable egalim au plan ?</t>
  </si>
  <si>
    <t>Quel contrôle professionnel sur bio durable egalim ?</t>
  </si>
  <si>
    <t>bio durable egalim doit être validé avant le lancement du menu.</t>
  </si>
  <si>
    <t>P080</t>
  </si>
  <si>
    <t>objectif année 1</t>
  </si>
  <si>
    <t>Lancer sans déstabiliser le service.</t>
  </si>
  <si>
    <t>Cibler diagnostic, 5 recettes pilotes, formation de base, indicateurs simples.</t>
  </si>
  <si>
    <t>Année 1 : dahl, chili, bolognaise lentilles, omelette, salade pois chiches.</t>
  </si>
  <si>
    <t>Vouloir tout changer trop vite.</t>
  </si>
  <si>
    <t>Limiter le périmètre et prouver les réussites.</t>
  </si>
  <si>
    <t>5 recettes validées + indicateurs</t>
  </si>
  <si>
    <t>Utiliser la ligne comme question, correction ou déclencheur du moteur.</t>
  </si>
  <si>
    <t>Une action utile doit avoir un indicateur et une source.</t>
  </si>
  <si>
    <t>Que doit vérifier le formateur sur objectif année 1 ?</t>
  </si>
  <si>
    <t>La cohérence entre objectif, action, preuve et terrain.</t>
  </si>
  <si>
    <t>Comment exploiter objectif année 1 dans le plan ?</t>
  </si>
  <si>
    <t>En l’intégrant à une fiche action, un indicateur ou une question d’évaluation.</t>
  </si>
  <si>
    <t>objectif année 1 doit conduire à une décision concrète.</t>
  </si>
  <si>
    <t>P081</t>
  </si>
  <si>
    <t>objectif année 2</t>
  </si>
  <si>
    <t>Étendre les recettes et sécuriser achats.</t>
  </si>
  <si>
    <t>Passer de pilotes à cycle complet avec fournisseurs et fiches validées.</t>
  </si>
  <si>
    <t>Année 2 : une recette végétale protidique par semaine sur cycle 8 semaines.</t>
  </si>
  <si>
    <t>Essais non capitalisés.</t>
  </si>
  <si>
    <t>Créer bibliothèque de fiches techniques validées.</t>
  </si>
  <si>
    <t>Cycle complet conforme</t>
  </si>
  <si>
    <t>Que doit vérifier le formateur sur objectif année 2 ?</t>
  </si>
  <si>
    <t>Comment exploiter objectif année 2 dans le plan ?</t>
  </si>
  <si>
    <t>objectif année 2 doit conduire à une décision concrète.</t>
  </si>
  <si>
    <t>P082</t>
  </si>
  <si>
    <t>objectif année 3</t>
  </si>
  <si>
    <t>Optimiser et pérenniser le plan.</t>
  </si>
  <si>
    <t>Réviser objectifs selon coûts, gaspillage, satisfaction et filières.</t>
  </si>
  <si>
    <t>Année 3 : intégration marchés, formation nouveaux agents, bilan annuel direction.</t>
  </si>
  <si>
    <t>Direction</t>
  </si>
  <si>
    <t>Le plan reste figé.</t>
  </si>
  <si>
    <t>Revue annuelle et actualisation des recettes.</t>
  </si>
  <si>
    <t>Bilan annuel présenté</t>
  </si>
  <si>
    <t>Que doit vérifier le formateur sur objectif année 3 ?</t>
  </si>
  <si>
    <t>Comment exploiter objectif année 3 dans le plan ?</t>
  </si>
  <si>
    <t>objectif année 3 doit conduire à une décision concrète.</t>
  </si>
  <si>
    <t>P083</t>
  </si>
  <si>
    <t>Tableau de bord</t>
  </si>
  <si>
    <t>indicateurs plan protéines</t>
  </si>
  <si>
    <t>Suivre peu d’indicateurs mais utiles.</t>
  </si>
  <si>
    <t>Suivre fréquence végétale, coût portion, restes, satisfaction, formation, source durable.</t>
  </si>
  <si>
    <t>Tableau mensuel avec 6 indicateurs maximum.</t>
  </si>
  <si>
    <t>Mensuel</t>
  </si>
  <si>
    <t>Trop d’indicateurs non renseignés.</t>
  </si>
  <si>
    <t>Limiter à ceux qui déclenchent une décision.</t>
  </si>
  <si>
    <t>Taux indicateurs renseignés</t>
  </si>
  <si>
    <t>Que doit vérifier le formateur sur indicateurs plan protéines ?</t>
  </si>
  <si>
    <t>Comment exploiter indicateurs plan protéines dans le plan ?</t>
  </si>
  <si>
    <t>indicateurs plan protéines doit conduire à une décision concrète.</t>
  </si>
  <si>
    <t>P084</t>
  </si>
  <si>
    <t>Bilan annuel</t>
  </si>
  <si>
    <t>bilan annuel protéines</t>
  </si>
  <si>
    <t>Présenter progrès, limites et décisions à la structure dirigeante.</t>
  </si>
  <si>
    <t>Résumer résultats, recettes validées, coûts, gaspillage, sources et actions suivante.</t>
  </si>
  <si>
    <t>Bilan 2026 : 8 recettes, coût stable, refus en baisse sur 5 recettes.</t>
  </si>
  <si>
    <t>Bilan narratif sans données.</t>
  </si>
  <si>
    <t>Préparer données dès le début de l’année.</t>
  </si>
  <si>
    <t>Bilan daté avec décisions</t>
  </si>
  <si>
    <t>Que doit vérifier le formateur sur bilan annuel protéines ?</t>
  </si>
  <si>
    <t>Comment exploiter bilan annuel protéines dans le plan ?</t>
  </si>
  <si>
    <t>bilan annuel protéines doit conduire à une décision concrète.</t>
  </si>
  <si>
    <t>P085</t>
  </si>
  <si>
    <t>Acceptabilité</t>
  </si>
  <si>
    <t>nom du plat</t>
  </si>
  <si>
    <t>COMMUNICATION</t>
  </si>
  <si>
    <t>Nommer les plats de manière appétissante et honnête.</t>
  </si>
  <si>
    <t>Éviter intitulés négatifs comme sans viande ; valoriser ingrédients et goût.</t>
  </si>
  <si>
    <t>Dire chili doux aux haricots rouges plutôt que chili sans viande.</t>
  </si>
  <si>
    <t>Service / communication</t>
  </si>
  <si>
    <t>Nom du plat déclenche le refus.</t>
  </si>
  <si>
    <t>Tester intitulés et observer choix convives.</t>
  </si>
  <si>
    <t>Taux de prise selon intitulé</t>
  </si>
  <si>
    <t>Que doit vérifier le formateur sur nom du plat ?</t>
  </si>
  <si>
    <t>Comment exploiter nom du plat dans le plan ?</t>
  </si>
  <si>
    <t>nom du plat doit conduire à une décision concrète.</t>
  </si>
  <si>
    <t>P086</t>
  </si>
  <si>
    <t>Dégustation progressive</t>
  </si>
  <si>
    <t>dégustation convives</t>
  </si>
  <si>
    <t>Réduire la résistance à la nouveauté.</t>
  </si>
  <si>
    <t>Organiser mini-dégustations avant généralisation.</t>
  </si>
  <si>
    <t>Cuillère de dahl en animation avant menu complet.</t>
  </si>
  <si>
    <t>Scolaire / adultes</t>
  </si>
  <si>
    <t>Convives découvrent le plat le jour du service.</t>
  </si>
  <si>
    <t>Faire goûter en petite quantité et expliquer simplement.</t>
  </si>
  <si>
    <t>Nombre dégustations + retours</t>
  </si>
  <si>
    <t>Que doit vérifier le formateur sur dégustation convives ?</t>
  </si>
  <si>
    <t>Comment exploiter dégustation convives dans le plan ?</t>
  </si>
  <si>
    <t>dégustation convives doit conduire à une décision concrète.</t>
  </si>
  <si>
    <t>P087</t>
  </si>
  <si>
    <t>Rôle du service</t>
  </si>
  <si>
    <t>agent de service explication plat</t>
  </si>
  <si>
    <t>Faire du service un levier d’acceptation.</t>
  </si>
  <si>
    <t>Donner aux agents une phrase simple pour présenter le plat.</t>
  </si>
  <si>
    <t>Aujourd’hui, chili doux aux haricots rouges, riche et mijoté.</t>
  </si>
  <si>
    <t>Le service présente le plat comme contrainte.</t>
  </si>
  <si>
    <t>Former à une phrase positive et factuelle.</t>
  </si>
  <si>
    <t>Observation discours service</t>
  </si>
  <si>
    <t>Que doit vérifier le formateur sur agent de service explication plat ?</t>
  </si>
  <si>
    <t>Comment exploiter agent de service explication plat dans le plan ?</t>
  </si>
  <si>
    <t>agent de service explication plat doit conduire à une décision concrète.</t>
  </si>
  <si>
    <t>P088</t>
  </si>
  <si>
    <t>Communication familles</t>
  </si>
  <si>
    <t>information usagers</t>
  </si>
  <si>
    <t>Expliquer le plan sans culpabiliser ni opposer les publics.</t>
  </si>
  <si>
    <t>Présenter objectifs : variété, qualité, budget, environnement, apprentissage du goût.</t>
  </si>
  <si>
    <t>Affiche : pourquoi plus de légumineuses au menu ?</t>
  </si>
  <si>
    <t>Familles / convives</t>
  </si>
  <si>
    <t>Communication militante ou floue.</t>
  </si>
  <si>
    <t>Rester factuel, local et centré qualité repas.</t>
  </si>
  <si>
    <t>Nombre supports + retours</t>
  </si>
  <si>
    <t>Que doit vérifier le formateur sur information usagers ?</t>
  </si>
  <si>
    <t>Comment exploiter information usagers dans le plan ?</t>
  </si>
  <si>
    <t>information usagers doit conduire à une décision concrète.</t>
  </si>
  <si>
    <t>P089</t>
  </si>
  <si>
    <t>Mémoire métier</t>
  </si>
  <si>
    <t>cartes mémorisation protéines</t>
  </si>
  <si>
    <t>Faciliter la mémorisation des familles de protéines.</t>
  </si>
  <si>
    <t>Créer cartes : protéine, usage, cuisson, risque, recette.</t>
  </si>
  <si>
    <t>Carte lentilles corail : dahl, cuisson courte, risque surcuisson.</t>
  </si>
  <si>
    <t>Apprenants CFA / agents</t>
  </si>
  <si>
    <t>Formation trop descendante.</t>
  </si>
  <si>
    <t>Utiliser quiz courts et répétition espacée.</t>
  </si>
  <si>
    <t>Résultat quiz 10 questions</t>
  </si>
  <si>
    <t>Que doit vérifier le formateur sur cartes mémorisation protéines ?</t>
  </si>
  <si>
    <t>Comment exploiter cartes mémorisation protéines dans le plan ?</t>
  </si>
  <si>
    <t>cartes mémorisation protéines doit conduire à une décision concrète.</t>
  </si>
  <si>
    <t>P090</t>
  </si>
  <si>
    <t>Atelier coût</t>
  </si>
  <si>
    <t>atelier coût portion</t>
  </si>
  <si>
    <t>Faire comprendre les arbitrages économiques.</t>
  </si>
  <si>
    <t>Comparer coût portion avant/après, pertes et temps de production.</t>
  </si>
  <si>
    <t>Bolognaise bœuf vs bolognaise lentilles avec restes.</t>
  </si>
  <si>
    <t>CFA / gestionnaire</t>
  </si>
  <si>
    <t>Le coût est vu comme opposition à la qualité.</t>
  </si>
  <si>
    <t>Montrer les marges de manœuvre réelles.</t>
  </si>
  <si>
    <t>Exercice coût réussi</t>
  </si>
  <si>
    <t>Que doit vérifier le formateur sur atelier coût portion ?</t>
  </si>
  <si>
    <t>Comment exploiter atelier coût portion dans le plan ?</t>
  </si>
  <si>
    <t>atelier coût portion doit conduire à une décision concrète.</t>
  </si>
  <si>
    <t>P091</t>
  </si>
  <si>
    <t>Atelier étiquette</t>
  </si>
  <si>
    <t>lecture étiquette substitut</t>
  </si>
  <si>
    <t>Former à analyser les produits de substitution.</t>
  </si>
  <si>
    <t>Lire ingrédients, protéines, sel, allergènes, origine, conditionnement.</t>
  </si>
  <si>
    <t>Comparer deux steaks végétaux et une galette maison.</t>
  </si>
  <si>
    <t>Acheteur / cuisine / CFA</t>
  </si>
  <si>
    <t>Achat au marketing.</t>
  </si>
  <si>
    <t>Décision par grille de contrôle.</t>
  </si>
  <si>
    <t>Grille remplie correctement</t>
  </si>
  <si>
    <t>Que doit vérifier le formateur sur lecture étiquette substitut ?</t>
  </si>
  <si>
    <t>Comment exploiter lecture étiquette substitut dans le plan ?</t>
  </si>
  <si>
    <t>lecture étiquette substitut doit conduire à une décision concrète.</t>
  </si>
  <si>
    <t>P092</t>
  </si>
  <si>
    <t>Public senior</t>
  </si>
  <si>
    <t>texture senior protéines végétales</t>
  </si>
  <si>
    <t>PUBLIC_SPECIFIQUE</t>
  </si>
  <si>
    <t>Adapter recettes aux capacités de mastication et appétit.</t>
  </si>
  <si>
    <t>Privilégier textures souples, sauces, portions adaptées et enrichissement si besoin.</t>
  </si>
  <si>
    <t>Velouté lentilles corail enrichi, texture lisse.</t>
  </si>
  <si>
    <t>Légumineuses, œufs, lait</t>
  </si>
  <si>
    <t>EHPAD</t>
  </si>
  <si>
    <t>Plat trop sec ou trop fibreux.</t>
  </si>
  <si>
    <t>Validation texture et appétence par équipe soignante/diététique.</t>
  </si>
  <si>
    <t>Consommation seniors</t>
  </si>
  <si>
    <t>Que doit vérifier le formateur sur texture senior protéines végétales ?</t>
  </si>
  <si>
    <t>Comment exploiter texture senior protéines végétales dans le plan ?</t>
  </si>
  <si>
    <t>texture senior protéines végétales doit conduire à une décision concrète.</t>
  </si>
  <si>
    <t>P093</t>
  </si>
  <si>
    <t>Petite enfance</t>
  </si>
  <si>
    <t>petite enfance protéines</t>
  </si>
  <si>
    <t>Sécuriser les recettes pour jeunes enfants.</t>
  </si>
  <si>
    <t>Adapter textures, sel, taille morceaux, allergies et introduction progressive.</t>
  </si>
  <si>
    <t>Purée lentilles corail légumes, sel maîtrisé.</t>
  </si>
  <si>
    <t>Crèche / maternelle</t>
  </si>
  <si>
    <t>Recette adulte transposée sans adaptation.</t>
  </si>
  <si>
    <t>Validation diététique et production spécifique.</t>
  </si>
  <si>
    <t>Recettes petite enfance validées</t>
  </si>
  <si>
    <t>Que doit vérifier le formateur sur petite enfance protéines ?</t>
  </si>
  <si>
    <t>Comment exploiter petite enfance protéines dans le plan ?</t>
  </si>
  <si>
    <t>petite enfance protéines doit conduire à une décision concrète.</t>
  </si>
  <si>
    <t>P094</t>
  </si>
  <si>
    <t>Milieu hospitalier</t>
  </si>
  <si>
    <t>patients protéines végétales</t>
  </si>
  <si>
    <t>Éviter les substitutions non adaptées à des régimes thérapeutiques.</t>
  </si>
  <si>
    <t>Faire valider par diététique selon pathologie, texture, apport et tolérance.</t>
  </si>
  <si>
    <t>Plat végétal proposé hors régime spécifique sans validation préalable.</t>
  </si>
  <si>
    <t>Santé</t>
  </si>
  <si>
    <t>Généralisation non compatible avec besoins patients.</t>
  </si>
  <si>
    <t>Circuit de validation diététique obligatoire.</t>
  </si>
  <si>
    <t>Menus validés par diététique</t>
  </si>
  <si>
    <t>Que doit vérifier le formateur sur patients protéines végétales ?</t>
  </si>
  <si>
    <t>Comment exploiter patients protéines végétales dans le plan ?</t>
  </si>
  <si>
    <t>patients protéines végétales doit conduire à une décision concrète.</t>
  </si>
  <si>
    <t>P095</t>
  </si>
  <si>
    <t>Gaspillage correctif</t>
  </si>
  <si>
    <t>correction gaspillage</t>
  </si>
  <si>
    <t>Utiliser les restes pour améliorer la recette, pas pour abandonner.</t>
  </si>
  <si>
    <t>Classer cause probable : goût, texture, nom, portion, température, habitude.</t>
  </si>
  <si>
    <t>Refus salade pois chiches : sauce trop acide, correction semaine suivante.</t>
  </si>
  <si>
    <t>Abandon trop rapide d’une recette.</t>
  </si>
  <si>
    <t>Modifier un paramètre à la fois.</t>
  </si>
  <si>
    <t>Baisse restes après correction</t>
  </si>
  <si>
    <t>Que doit vérifier le formateur sur correction gaspillage ?</t>
  </si>
  <si>
    <t>Comment exploiter correction gaspillage dans le plan ?</t>
  </si>
  <si>
    <t>correction gaspillage doit conduire à une décision concrète.</t>
  </si>
  <si>
    <t>P096</t>
  </si>
  <si>
    <t>Décision abandon</t>
  </si>
  <si>
    <t>recette abandonnée</t>
  </si>
  <si>
    <t>Savoir retirer une recette non viable.</t>
  </si>
  <si>
    <t>Fixer critères : refus répété, coût, impossibilité technique, allergènes, qualité.</t>
  </si>
  <si>
    <t>Galette maison abandonnée si casse élevée après 3 corrections.</t>
  </si>
  <si>
    <t>Persévérer sur une recette mauvaise.</t>
  </si>
  <si>
    <t>Documenter abandon et remplacer par variante.</t>
  </si>
  <si>
    <t>Recettes abandonnées avec motif</t>
  </si>
  <si>
    <t>Que doit vérifier le formateur sur recette abandonnée ?</t>
  </si>
  <si>
    <t>Comment exploiter recette abandonnée dans le plan ?</t>
  </si>
  <si>
    <t>recette abandonnée doit conduire à une décision concrète.</t>
  </si>
  <si>
    <t>P097</t>
  </si>
  <si>
    <t>Capitalisation</t>
  </si>
  <si>
    <t>bibliothèque recettes validées</t>
  </si>
  <si>
    <t>Créer une base réutilisable et transférable.</t>
  </si>
  <si>
    <t>Archiver recettes validées avec public, process, coût, source, indicateurs.</t>
  </si>
  <si>
    <t>Bibliothèque : 20 fiches validées avec photos et retours.</t>
  </si>
  <si>
    <t>Savoir perdu lors des changements d’équipe.</t>
  </si>
  <si>
    <t>Centraliser et versionner les fiches.</t>
  </si>
  <si>
    <t>Nombre fiches validées actives</t>
  </si>
  <si>
    <t>Que doit vérifier le formateur sur bibliothèque recettes validées ?</t>
  </si>
  <si>
    <t>Comment exploiter bibliothèque recettes validées dans le plan ?</t>
  </si>
  <si>
    <t>bibliothèque recettes validées doit conduire à une décision concrète.</t>
  </si>
  <si>
    <t>P098</t>
  </si>
  <si>
    <t>Moteur pédagogique</t>
  </si>
  <si>
    <t>règle moteur protéines</t>
  </si>
  <si>
    <t>MOTEUR</t>
  </si>
  <si>
    <t>Transformer le plan en règles exploitables par moteur Excel.</t>
  </si>
  <si>
    <t>Créer lignes avec mot-clé, catégorie, objectif, action, indicateur, source, question.</t>
  </si>
  <si>
    <t>Mot-clé lentilles corail déclenche NUTRITION + RECETTE + PRODUCTION.</t>
  </si>
  <si>
    <t>Base trop littéraire et non exploitable.</t>
  </si>
  <si>
    <t>Une idée = une ligne = un mot-clé = une action = une preuve.</t>
  </si>
  <si>
    <t>Taux lignes avec mot-clé et source</t>
  </si>
  <si>
    <t>Que doit vérifier le formateur sur règle moteur protéines ?</t>
  </si>
  <si>
    <t>Comment exploiter règle moteur protéines dans le plan ?</t>
  </si>
  <si>
    <t>règle moteur protéines doit conduire à une décision concrète.</t>
  </si>
  <si>
    <t>P099</t>
  </si>
  <si>
    <t>Actualisation</t>
  </si>
  <si>
    <t>mise à jour sources</t>
  </si>
  <si>
    <t>Prévoir la révision des sources et obligations.</t>
  </si>
  <si>
    <t>Revoir chaque année références réglementaires et guides.</t>
  </si>
  <si>
    <t>Contrôle annuel Légifrance, ma-cantine, ANSES, ADEME.</t>
  </si>
  <si>
    <t>Sources obsolètes.</t>
  </si>
  <si>
    <t>Ajouter date de contrôle dans version future du moteur.</t>
  </si>
  <si>
    <t>Sources revues annuellement</t>
  </si>
  <si>
    <t>Que doit vérifier le formateur sur mise à jour sources ?</t>
  </si>
  <si>
    <t>Comment exploiter mise à jour sources dans le plan ?</t>
  </si>
  <si>
    <t>mise à jour sources doit conduire à une décision concrète.</t>
  </si>
  <si>
    <t>Règles exploitables par moteur Excel</t>
  </si>
  <si>
    <t>Base sans formule dynamique : chaque ligne peut devenir une règle de détection, un déclencheur d’audit ou un conseil formateur.</t>
  </si>
  <si>
    <t>ID règle</t>
  </si>
  <si>
    <t>Bloc moteur</t>
  </si>
  <si>
    <t>Signal / mot-clé</t>
  </si>
  <si>
    <t>Variantes utiles</t>
  </si>
  <si>
    <t>Type moteur</t>
  </si>
  <si>
    <t>Décision moteur attendue</t>
  </si>
  <si>
    <t>Exemple déclencheur</t>
  </si>
  <si>
    <t>Arbitrage / règle terrain</t>
  </si>
  <si>
    <t>Faux positif à éviter</t>
  </si>
  <si>
    <t>Contrôle obligatoire</t>
  </si>
  <si>
    <t>Source fiable</t>
  </si>
  <si>
    <t>R001</t>
  </si>
  <si>
    <t>Détection socle</t>
  </si>
  <si>
    <t>substitution</t>
  </si>
  <si>
    <t>substituer; remplacer; remplacement; substitut; substitué</t>
  </si>
  <si>
    <t>AUDIT</t>
  </si>
  <si>
    <t>Activer le bloc arbitrage substitution.</t>
  </si>
  <si>
    <t>Substitution partielle du bœuf par un mélange haricots rouges + céréales.</t>
  </si>
  <si>
    <t>Ne jamais valider une substitution sur le seul prix; vérifier goût, grammage, protéine, allergènes et gaspillage.</t>
  </si>
  <si>
    <t>Ne pas confondre substitution technique ponctuelle et plan pluriannuel.</t>
  </si>
  <si>
    <t>Comparer coût portion, pertes, acceptabilité, équilibre nutritionnel.</t>
  </si>
  <si>
    <t>Mot utile mais sensible: il peut culpabiliser si présenté comme une suppression.</t>
  </si>
  <si>
    <t>https://ma-cantine.agriculture.gouv.fr/static/documents/Cadre_G%C3%A9n%C3%A9ral_CNRC_Plan_pluriannuel_de_diversification_des_sources_de_prot%C3%A9ines.pdf</t>
  </si>
  <si>
    <t>R002</t>
  </si>
  <si>
    <t>alternative</t>
  </si>
  <si>
    <t>alternative; option; variante; choix végétal; proposition végétale</t>
  </si>
  <si>
    <t>Activer le bloc diversification sans opposition viande/végétal.</t>
  </si>
  <si>
    <t>Proposer une alternative pois chiches façon couscous végétarien.</t>
  </si>
  <si>
    <t>Présenter comme élargissement de l’offre, pas comme punition ou retrait.</t>
  </si>
  <si>
    <t>Alternative peut aussi parler d’un dessert ou d’un mode de service.</t>
  </si>
  <si>
    <t>Vérifier que l’alternative concerne bien la protéine du plat.</t>
  </si>
  <si>
    <t>Formulation préférable auprès des convives.</t>
  </si>
  <si>
    <t>https://ma-cantine.agriculture.gouv.fr/mesures-phares/</t>
  </si>
  <si>
    <t>R003</t>
  </si>
  <si>
    <t>légumineuse</t>
  </si>
  <si>
    <t>legumineuse; légumineuse; legumes secs; légumes secs; lentille; pois chiche; haricot; pois casse; fève</t>
  </si>
  <si>
    <t>Activer le bloc source végétale principale.</t>
  </si>
  <si>
    <t>Dahl de lentilles corail, pois chiches en tajine, haricots rouges en chili.</t>
  </si>
  <si>
    <t>Varier les familles pour éviter le réflexe lentilles systématiques.</t>
  </si>
  <si>
    <t>Ne pas compter tomate, courgette ou carotte comme légumineuse.</t>
  </si>
  <si>
    <t>Classer: lentilles, pois chiches, haricots, pois cassés, fèves, soja.</t>
  </si>
  <si>
    <t>Les légumes secs sont centraux mais ne suffisent pas seuls à piloter le plan.</t>
  </si>
  <si>
    <t>https://www.mangerbouger.fr/l-essentiel/les-recommandations-sur-l-alimentation-l-activite-physique-et-la-sedentarite/augmenter/augmenter-les-legumes-secs</t>
  </si>
  <si>
    <t>R004</t>
  </si>
  <si>
    <t>végétal</t>
  </si>
  <si>
    <t>vegetal; végétal; vegetale; végétale; vegetaux; végétaux; végétarien; vegetarien</t>
  </si>
  <si>
    <t>Activer le bloc analyse végétale / végétarienne.</t>
  </si>
  <si>
    <t>Menu végétarien avec semoule complète et pois chiches.</t>
  </si>
  <si>
    <t>Végétal n’est pas automatiquement équilibré: contrôler protéines, fibres, sel, matières grasses, allergènes.</t>
  </si>
  <si>
    <t>Un plat de légumes seuls n’est pas un plat protidique végétarien suffisant.</t>
  </si>
  <si>
    <t>Contrôler présence d’une vraie source protéique.</t>
  </si>
  <si>
    <t>Très utile pour tri moteur mais demande un second contrôle.</t>
  </si>
  <si>
    <t>https://www.economie.gouv.fr/files/files/directions_services/daj/marches_publics/oeap/gem/nutrition/fiche-nutrition-plats-protidiques.pdf</t>
  </si>
  <si>
    <t>R005</t>
  </si>
  <si>
    <t>Allergènes</t>
  </si>
  <si>
    <t>seitan; gluten de ble; gluten de blé; protéine de blé; proteine de ble</t>
  </si>
  <si>
    <t>ALERTE_GLUTEN</t>
  </si>
  <si>
    <t>Bloquer validation automatique sans contrôle allergène gluten.</t>
  </si>
  <si>
    <t>Émincé de seitan sauce tomate.</t>
  </si>
  <si>
    <t>Seitan = gluten de blé: exclu pour convives sans gluten ou allergiques/intolérants concernés.</t>
  </si>
  <si>
    <t>Ne pas le classer comme simple protéine végétale neutre.</t>
  </si>
  <si>
    <t>Afficher alerte gluten et prévoir alternative sans gluten.</t>
  </si>
  <si>
    <t>À utiliser seulement si l’information allergène est visible et maîtrisée.</t>
  </si>
  <si>
    <t>R006</t>
  </si>
  <si>
    <t>soja</t>
  </si>
  <si>
    <t>soja; tofu; tempeh; protéines de soja; proteines de soja; edamame; miso</t>
  </si>
  <si>
    <t>ALERTE_SOJA</t>
  </si>
  <si>
    <t>Déclencher contrôle allergène soja.</t>
  </si>
  <si>
    <t>Tofu grillé, tempeh mariné, haché végétal soja.</t>
  </si>
  <si>
    <t>Bon profil protéique mais allergène majeur à tracer.</t>
  </si>
  <si>
    <t>Ne pas confondre sauce soja en assaisonnement et protéine principale.</t>
  </si>
  <si>
    <t>Allergène soja + sel si sauce soja.</t>
  </si>
  <si>
    <t>Limiter l’automatisme: tofu/tempeh ne règlent pas tout.</t>
  </si>
  <si>
    <t>https://www.anses.fr/fr/content/la-table-de-composition-nutritionnelle-du-ciqual</t>
  </si>
  <si>
    <t>R007</t>
  </si>
  <si>
    <t>lupin</t>
  </si>
  <si>
    <t>lupin; farine de lupin; graine de lupin</t>
  </si>
  <si>
    <t>ALERTE_LUPIN</t>
  </si>
  <si>
    <t>Déclencher contrôle allergène lupin.</t>
  </si>
  <si>
    <t>Galette végétale contenant farine de lupin.</t>
  </si>
  <si>
    <t>Source protéique intéressante mais allergène réglementaire.</t>
  </si>
  <si>
    <t>Peut être caché dans des préparations végétales industrielles.</t>
  </si>
  <si>
    <t>Vérifier fiche technique fournisseur.</t>
  </si>
  <si>
    <t>À garder en alerte forte.</t>
  </si>
  <si>
    <t>R008</t>
  </si>
  <si>
    <t>sésame</t>
  </si>
  <si>
    <t>sesame; sésame; tahini; tahin; purée de sésame</t>
  </si>
  <si>
    <t>ALERTE_SESAME</t>
  </si>
  <si>
    <t>Déclencher contrôle allergène sésame.</t>
  </si>
  <si>
    <t>Houmous avec tahini.</t>
  </si>
  <si>
    <t>Très fréquent dans recettes pois chiches; ne pas oublier l’allergène.</t>
  </si>
  <si>
    <t>Pois chiche seul ≠ sésame; seul le tahini/sésame déclenche.</t>
  </si>
  <si>
    <t>Distinguer houmous maison avec ou sans tahini.</t>
  </si>
  <si>
    <t>Important pour recettes acceptées des convives.</t>
  </si>
  <si>
    <t>R009</t>
  </si>
  <si>
    <t>arachide</t>
  </si>
  <si>
    <t>arachide; cacahuete; cacahuète; pâte d'arachide</t>
  </si>
  <si>
    <t>ALERTE_ARACHIDE</t>
  </si>
  <si>
    <t>Déclencher contrôle allergène arachide.</t>
  </si>
  <si>
    <t>Sauce arachide sur ragoût de haricots.</t>
  </si>
  <si>
    <t>Bonne densité énergétique mais allergène très sensible.</t>
  </si>
  <si>
    <t>Ne pas assimiler tous les oléagineux à arachide.</t>
  </si>
  <si>
    <t>Traçabilité recette + étiquetage.</t>
  </si>
  <si>
    <t>À utiliser avec prudence en scolaire.</t>
  </si>
  <si>
    <t>R010</t>
  </si>
  <si>
    <t>Nutrition</t>
  </si>
  <si>
    <t>céréales + légumineuses</t>
  </si>
  <si>
    <t>riz haricots; semoule pois chiches; pâtes lentilles; boulgour pois chiches</t>
  </si>
  <si>
    <t>INFO_NUTRI</t>
  </si>
  <si>
    <t>Valoriser l’association complémentaire.</t>
  </si>
  <si>
    <t>Couscous végétarien semoule complète + pois chiches.</t>
  </si>
  <si>
    <t>Associer pour améliorer la qualité protéique si plat sans œuf, fromage ou produit laitier.</t>
  </si>
  <si>
    <t>Ne pas compter la céréale seule comme protéine principale.</t>
  </si>
  <si>
    <t>Contrôler grammage et densité protéique.</t>
  </si>
  <si>
    <t>La règle doit guider, pas simplifier abusivement.</t>
  </si>
  <si>
    <t>R011</t>
  </si>
  <si>
    <t>Économie</t>
  </si>
  <si>
    <t>coût portion</t>
  </si>
  <si>
    <t>cout portion; coût portion; prix portion; coût matière; cout matiere</t>
  </si>
  <si>
    <t>AUDIT_ECO</t>
  </si>
  <si>
    <t>Activer arbitrage économique.</t>
  </si>
  <si>
    <t>Chili haricots rouges moins cher mais plus gaspillé si mal accepté.</t>
  </si>
  <si>
    <t>Comparer coût matière + temps + pertes, pas seulement prix d’achat.</t>
  </si>
  <si>
    <t>Éviter de conclure moins cher si les restes augmentent.</t>
  </si>
  <si>
    <t>Suivre coût servi et coût consommé.</t>
  </si>
  <si>
    <t>Exemple concret à montrer aux gestionnaires.</t>
  </si>
  <si>
    <t>https://librairie.ademe.fr/agriculture-alimentation-foret-bioeconomie/769-reduire-le-gaspillage-alimentaire-en-restauration-collective.html</t>
  </si>
  <si>
    <t>R012</t>
  </si>
  <si>
    <t>pertes / gaspillage</t>
  </si>
  <si>
    <t>gaspillage; reste assiette; retour plateau; invendus; pertes</t>
  </si>
  <si>
    <t>Activer suivi acceptabilité/gaspillage.</t>
  </si>
  <si>
    <t>Recette lentilles peu coûteuse mais 35 % de retours plateau.</t>
  </si>
  <si>
    <t>Un plat économique sur facture peut devenir cher si non consommé.</t>
  </si>
  <si>
    <t>Ne pas réduire à un jugement de goût individuel.</t>
  </si>
  <si>
    <t>Pesée avant/après service par composante.</t>
  </si>
  <si>
    <t>Indicateur décisif en restauration collective.</t>
  </si>
  <si>
    <t>R013</t>
  </si>
  <si>
    <t>Communication</t>
  </si>
  <si>
    <t>sans culpabiliser</t>
  </si>
  <si>
    <t>culpabiliser; imposer; opposer; anti viande; supprimer la viande</t>
  </si>
  <si>
    <t>VIGILANCE_COM</t>
  </si>
  <si>
    <t>Reformuler la communication.</t>
  </si>
  <si>
    <t>Dire: découvrir d’autres recettes protéiques plutôt que remplacer la viande.</t>
  </si>
  <si>
    <t>Ne pas opposer les publics: parler goût, variété, saison, maîtrise budgétaire, qualité.</t>
  </si>
  <si>
    <t>Éviter discours moral ou militant dans un outil de production.</t>
  </si>
  <si>
    <t>Préparer phrases positives pour affichage/menu.</t>
  </si>
  <si>
    <t>Essentiel avec enfants, familles, agents, résidents.</t>
  </si>
  <si>
    <t>R014</t>
  </si>
  <si>
    <t>acceptabilité convives</t>
  </si>
  <si>
    <t>acceptabilite; acceptabilité; convive; famille; resident; élève; eleve</t>
  </si>
  <si>
    <t>AUDIT_ACCEPT</t>
  </si>
  <si>
    <t>Activer suivi terrain.</t>
  </si>
  <si>
    <t>Test recette sur 2 services avant généralisation.</t>
  </si>
  <si>
    <t>Former par exposition progressive, pas par rupture brutale.</t>
  </si>
  <si>
    <t>Ne pas interpréter un refus initial comme échec définitif.</t>
  </si>
  <si>
    <t>Suivre retours, restes, demandes de resservice.</t>
  </si>
  <si>
    <t>Le moteur doit conseiller un test pilote.</t>
  </si>
  <si>
    <t>https://librairie.ademe.fr/economie-circulaire-et-dechets/4679-vers-une-alimentation-plus-durable-en-restauration-collective-9791029715808.html</t>
  </si>
  <si>
    <t>R015</t>
  </si>
  <si>
    <t>Sensoriel</t>
  </si>
  <si>
    <t>ressenti en bouche</t>
  </si>
  <si>
    <t>AUDIT_SENSORIEL</t>
  </si>
  <si>
    <t>Activer correction recette.</t>
  </si>
  <si>
    <t>Galette de pois chiches trop sèche: ajouter sauce, légumes rôtis, humidité, liant.</t>
  </si>
  <si>
    <t>Ne pas corriger seulement par plus d’épices.</t>
  </si>
  <si>
    <t>Tester après maintien chaud, pas seulement en sortie cuisson.</t>
  </si>
  <si>
    <t>Point critique en cuisine centrale.</t>
  </si>
  <si>
    <t>R016</t>
  </si>
  <si>
    <t>sauce / liant</t>
  </si>
  <si>
    <t>sauce; liant; onctuosité; onctuosite; humidité; humidite</t>
  </si>
  <si>
    <t>INFO_SENSORIEL</t>
  </si>
  <si>
    <t>Suggérer adaptation technique.</t>
  </si>
  <si>
    <t>Bolognaise lentilles: mirepoix fine, tomate réduite, huile d’olive, cuisson courte de finition.</t>
  </si>
  <si>
    <t>Une recette végétale sèche sera rejetée même si elle est nutritionnellement correcte.</t>
  </si>
  <si>
    <t>Attention aux sauces trop salées ou trop grasses.</t>
  </si>
  <si>
    <t>Contrôler sel/lipides et tenue au service.</t>
  </si>
  <si>
    <t>Permet un conseil formateur utile.</t>
  </si>
  <si>
    <t>R017</t>
  </si>
  <si>
    <t>lecture nutritionnelle</t>
  </si>
  <si>
    <t>AUDIT_NUTRI</t>
  </si>
  <si>
    <t>Activer lecture nutritionnelle.</t>
  </si>
  <si>
    <t>Comparer chili sin carne: protéines/portion, fibres, sel, énergie, lipides.</t>
  </si>
  <si>
    <t>Plat végétal industriel peut être trop salé.</t>
  </si>
  <si>
    <t>Comparer avec Ciqual et fiches techniques.</t>
  </si>
  <si>
    <t>Réponse attendue: analyse globale, pas slogan.</t>
  </si>
  <si>
    <t>R018</t>
  </si>
  <si>
    <t>sel</t>
  </si>
  <si>
    <t>sel; sodium; sauce soja; bouillon cube; fumé; fume</t>
  </si>
  <si>
    <t>VIGILANCE_NUTRI</t>
  </si>
  <si>
    <t>Déclencher vigilance sodium.</t>
  </si>
  <si>
    <t>Tofu fumé + sauce soja + bouillon = risque sel élevé.</t>
  </si>
  <si>
    <t>Le goût ne doit pas être corrigé uniquement par le sel.</t>
  </si>
  <si>
    <t>Ne pas pénaliser soja seul: contrôler la recette complète.</t>
  </si>
  <si>
    <t>Lire fiche technique et assaisonnement réel.</t>
  </si>
  <si>
    <t>Important pour EHPAD/hôpital/scolaire.</t>
  </si>
  <si>
    <t>R019</t>
  </si>
  <si>
    <t>Diversification</t>
  </si>
  <si>
    <t>lentilles surreprésentées</t>
  </si>
  <si>
    <t>lentille; lentilles; lentilles corail; lentilles vertes</t>
  </si>
  <si>
    <t>INFO_DIVERSIF</t>
  </si>
  <si>
    <t>Compter mais conseiller la rotation.</t>
  </si>
  <si>
    <t>Lentilles citées souvent car faciles, peu coûteuses, connues, disponibles, cuisson maîtrisable.</t>
  </si>
  <si>
    <t>Elles ne doivent pas masquer pois chiches, haricots, pois cassés, fèves, soja, lupin, céréales complètes, graines.</t>
  </si>
  <si>
    <t>Ne pas transformer la diversification en répétition lentilles.</t>
  </si>
  <si>
    <t>Suivre nombre de familles différentes par cycle.</t>
  </si>
  <si>
    <t>Réponse directe à la question: lentilles utiles, mais pas monopole.</t>
  </si>
  <si>
    <t>R020</t>
  </si>
  <si>
    <t>pois chiche; pois chiches; houmous; falafel; chana; couscous pois chiches</t>
  </si>
  <si>
    <t>Classer source légumineuse.</t>
  </si>
  <si>
    <t>Couscous pois chiches, tajine, houmous sans tahini si besoin.</t>
  </si>
  <si>
    <t>Bonne variété de textures: entier, écrasé, farine, purée.</t>
  </si>
  <si>
    <t>Houmous peut contenir sésame; falafel peut être frit.</t>
  </si>
  <si>
    <t>Contrôle sésame et mode de cuisson.</t>
  </si>
  <si>
    <t>Très utile pour sortir du réflexe lentilles.</t>
  </si>
  <si>
    <t>R021</t>
  </si>
  <si>
    <t>haricots</t>
  </si>
  <si>
    <t>haricot rouge; haricots rouges; haricot blanc; lingot; flageolet; mogette</t>
  </si>
  <si>
    <t>Chili sin carne haricots rouges + maïs + riz.</t>
  </si>
  <si>
    <t>Intéressant pour plats populaires et rassasiants.</t>
  </si>
  <si>
    <t>Attention texture farineuse si surcuisson ou mauvais maintien chaud.</t>
  </si>
  <si>
    <t>Test maintien chaud et assaisonnement.</t>
  </si>
  <si>
    <t>Très opérationnel en restauration collective.</t>
  </si>
  <si>
    <t>R022</t>
  </si>
  <si>
    <t>pois casse; pois cassé; pois casses; pois cassés</t>
  </si>
  <si>
    <t>Purée de pois cassés, soupe complète, dhal vert.</t>
  </si>
  <si>
    <t>Bon coût portion et texture liée naturellement.</t>
  </si>
  <si>
    <t>Risque image ancienne/terne si présentation faible.</t>
  </si>
  <si>
    <t>Travailler garniture, couleur, topping, herbes.</t>
  </si>
  <si>
    <t>Bon levier économique.</t>
  </si>
  <si>
    <t>R023</t>
  </si>
  <si>
    <t>fèves / féveroles</t>
  </si>
  <si>
    <t>feve; fève; feves; fèves; feverole; féverole</t>
  </si>
  <si>
    <t>Classer source légumineuse/protéagineux.</t>
  </si>
  <si>
    <t>Fèves en ragoût, féverole en ingrédient de galette.</t>
  </si>
  <si>
    <t>Diversifie les approvisionnements, potentiel local selon filière.</t>
  </si>
  <si>
    <t>Peut être moins connu des convives.</t>
  </si>
  <si>
    <t>Introduire en mélange ou recette familière.</t>
  </si>
  <si>
    <t>À intégrer dans les essais.</t>
  </si>
  <si>
    <t>R024</t>
  </si>
  <si>
    <t>tofu / tempeh</t>
  </si>
  <si>
    <t>tofu; tempeh; soja ferme; tofu fumé</t>
  </si>
  <si>
    <t>Classer source soja + allergène.</t>
  </si>
  <si>
    <t>Tofu mariné grillé avec riz et légumes.</t>
  </si>
  <si>
    <t>Maîtrise gustative indispensable: marinade, saisie, sauce.</t>
  </si>
  <si>
    <t>Ne pas servir nature fade.</t>
  </si>
  <si>
    <t>Contrôle soja et test sensoriel.</t>
  </si>
  <si>
    <t>Bonne source mais exige recette solide.</t>
  </si>
  <si>
    <t>R025</t>
  </si>
  <si>
    <t>protéines de soja texturées</t>
  </si>
  <si>
    <t>pst; protéines de soja texturées; proteines de soja texturees; soja texturé</t>
  </si>
  <si>
    <t>Classer source soja + vigilance ultra-transformation selon produit.</t>
  </si>
  <si>
    <t>Bolognaise PST tomate-légumes.</t>
  </si>
  <si>
    <t>Économique et reproductible, mais dépend fortement de la réhydratation et de l’assaisonnement.</t>
  </si>
  <si>
    <t>Ne pas cacher l’allergène soja.</t>
  </si>
  <si>
    <t>Contrôler fiche technique, sel, additifs, allergènes.</t>
  </si>
  <si>
    <t>Utile si piloté proprement.</t>
  </si>
  <si>
    <t>R026</t>
  </si>
  <si>
    <t>Planification</t>
  </si>
  <si>
    <t>cycle menu</t>
  </si>
  <si>
    <t>cycle; rotation; planification; fréquence; frequence</t>
  </si>
  <si>
    <t>Activer suivi pluriannuel.</t>
  </si>
  <si>
    <t>Cycle 8 semaines avec 6 familles végétales différentes.</t>
  </si>
  <si>
    <t>Diversifier sur le temps long: pas tout changer en une semaine.</t>
  </si>
  <si>
    <t>Ne pas analyser un menu isolé comme preuve du plan.</t>
  </si>
  <si>
    <t>Suivre par cycle, trimestre, année.</t>
  </si>
  <si>
    <t>Base de pilotage gestionnaire.</t>
  </si>
  <si>
    <t>R027</t>
  </si>
  <si>
    <t>Formation</t>
  </si>
  <si>
    <t>question CFA</t>
  </si>
  <si>
    <t>question; cfa; apprenant; formateur; mémoire; memorisation</t>
  </si>
  <si>
    <t>PEDAGOGIE</t>
  </si>
  <si>
    <t>Transformer la règle en question d’entraînement.</t>
  </si>
  <si>
    <t>Pourquoi une alternative végétale doit-elle être testée au maintien chaud ?</t>
  </si>
  <si>
    <t>Mémoriser par situations concrètes: coût, goût, allergène, gaspillage.</t>
  </si>
  <si>
    <t>Éviter questions trop théoriques.</t>
  </si>
  <si>
    <t>Associer chaque règle à un exemple terrain.</t>
  </si>
  <si>
    <t>Alimente directement un moteur pédagogique.</t>
  </si>
  <si>
    <t>R028</t>
  </si>
  <si>
    <t>Audit</t>
  </si>
  <si>
    <t>résumé audit</t>
  </si>
  <si>
    <t>resume; résumé; audit; diagnostic; synthèse; synthese</t>
  </si>
  <si>
    <t>SORTIE</t>
  </si>
  <si>
    <t>Produire synthèse courte.</t>
  </si>
  <si>
    <t>Signaux: alternative + légumineuse + végétal. Contrôles: coût, allergènes, acceptabilité.</t>
  </si>
  <si>
    <t>Résumé utile = ce qui est détecté + ce qui reste à contrôler.</t>
  </si>
  <si>
    <t>Ne pas produire une phrase longue décorative.</t>
  </si>
  <si>
    <t>Limiter à 1 à 3 actions prioritaires.</t>
  </si>
  <si>
    <t>Voir onglet Audit_resume_moteur.</t>
  </si>
  <si>
    <t>Liste des protéines végétales et points de vigilance</t>
  </si>
  <si>
    <t>Liste élargie pour ne pas réduire le plan aux lentilles. Les céréales sont souvent des compléments : elles doivent être associées à une vraie source protéique.</t>
  </si>
  <si>
    <t>Famille</t>
  </si>
  <si>
    <t>Source végétale</t>
  </si>
  <si>
    <t>Formes utilisables en restauration collective</t>
  </si>
  <si>
    <t>Rôle nutritionnel / culinaire</t>
  </si>
  <si>
    <t>Points de vigilance</t>
  </si>
  <si>
    <t>Allergène / risque</t>
  </si>
  <si>
    <t>Exemple terrain</t>
  </si>
  <si>
    <t>Intérêt économique</t>
  </si>
  <si>
    <t>Conseil moteur</t>
  </si>
  <si>
    <t>Lentilles vertes</t>
  </si>
  <si>
    <t>sèches, conserve, surgelé, purée, salade, mijoté</t>
  </si>
  <si>
    <t>Protéines végétales + fibres; bonne tenue en plat complet.</t>
  </si>
  <si>
    <t>Ne pas surutiliser; risque plat sec si maintien chaud long.</t>
  </si>
  <si>
    <t>Aucun allergène majeur spécifique sauf traces fournisseur.</t>
  </si>
  <si>
    <t>Saucisse végétale non nécessaire: lentilles façon petit salé végétarien.</t>
  </si>
  <si>
    <t>Coût portion généralement maîtrisable.</t>
  </si>
  <si>
    <t>Détecter lentille mais conseiller rotation.</t>
  </si>
  <si>
    <t>dahl, soupe, purée, sauce liée</t>
  </si>
  <si>
    <t>Cuisson rapide, texture fondante, couleur attractive.</t>
  </si>
  <si>
    <t>Peut se déliter; manque de mâche si seule.</t>
  </si>
  <si>
    <t>Traces fournisseur possibles.</t>
  </si>
  <si>
    <t>Dahl lentilles corail + riz + légumes.</t>
  </si>
  <si>
    <t>Très bon levier coût/temps.</t>
  </si>
  <si>
    <t>Ne pas en faire la source unique permanente.</t>
  </si>
  <si>
    <t>Lentilles blondes</t>
  </si>
  <si>
    <t>salade, mijoté, garniture</t>
  </si>
  <si>
    <t>Alternative aux lentilles vertes; texture différente.</t>
  </si>
  <si>
    <t>Temps cuisson à caler.</t>
  </si>
  <si>
    <t>Ragoût lentilles blondes carottes cumin.</t>
  </si>
  <si>
    <t>Bon marché selon achat.</t>
  </si>
  <si>
    <t>Classer famille lentilles, mais compter variété.</t>
  </si>
  <si>
    <t>couscous, tajine, houmous, falafel, farine</t>
  </si>
  <si>
    <t>Polyvalent; mâche; image méditerranéenne connue.</t>
  </si>
  <si>
    <t>Houmous souvent avec sésame; falafel peut être frit.</t>
  </si>
  <si>
    <t>Sésame si tahini; traces gluten selon préparation.</t>
  </si>
  <si>
    <t>Couscous pois chiches légumes.</t>
  </si>
  <si>
    <t>Bon coût en sec/conserve; rendement correct.</t>
  </si>
  <si>
    <t>Détecter pois chiche + contrôler sésame si houmous.</t>
  </si>
  <si>
    <t>chili, salade, ragoût, burrito</t>
  </si>
  <si>
    <t>Mâche, couleur, recette populaire.</t>
  </si>
  <si>
    <t>Texture farineuse si surcuisson; assaisonnement décisif.</t>
  </si>
  <si>
    <t>Chili sin carne riz haricots rouges.</t>
  </si>
  <si>
    <t>Bon rapport coût/satiété.</t>
  </si>
  <si>
    <t>Classer légumineuse distincte des lentilles.</t>
  </si>
  <si>
    <t>Haricots blancs</t>
  </si>
  <si>
    <t>cassoulet végétal, soupe, purée, salade</t>
  </si>
  <si>
    <t>Texture fondante; recettes traditionnelles adaptables.</t>
  </si>
  <si>
    <t>Peut être perçu lourd si mal équilibré.</t>
  </si>
  <si>
    <t>Haricots blancs tomate herbes + céréale.</t>
  </si>
  <si>
    <t>Bon coût mais cuisson longue si sec.</t>
  </si>
  <si>
    <t>Conseiller trempage/cuisson ou conserve maîtrisée.</t>
  </si>
  <si>
    <t>Flageolets / mogettes</t>
  </si>
  <si>
    <t>garniture protéique, mijoté</t>
  </si>
  <si>
    <t>Source de variété dans les légumes secs français.</t>
  </si>
  <si>
    <t>Image accompagnement plus que plat principal.</t>
  </si>
  <si>
    <t>Mogettes tomate + boulgour.</t>
  </si>
  <si>
    <t>Intéressant si filière locale.</t>
  </si>
  <si>
    <t>Détecter comme légumineuse.</t>
  </si>
  <si>
    <t>purée, soupe, dhal, galette</t>
  </si>
  <si>
    <t>Texture naturellement liée; rassasiant.</t>
  </si>
  <si>
    <t>Image ancienne; couleur à travailler.</t>
  </si>
  <si>
    <t>Velouté pois cassés + croûtons complets.</t>
  </si>
  <si>
    <t>Très économique.</t>
  </si>
  <si>
    <t>Conseiller présentation et topping.</t>
  </si>
  <si>
    <t>ragoût, purée, salade, garniture</t>
  </si>
  <si>
    <t>Diversifie les familles; goût végétal marqué.</t>
  </si>
  <si>
    <t>Acceptabilité à tester; épluchage selon produit.</t>
  </si>
  <si>
    <t>Traces fournisseur possibles; vigilance favisme selon contexte médical.</t>
  </si>
  <si>
    <t>Fèves tomate cumin + semoule.</t>
  </si>
  <si>
    <t>Variable selon filière.</t>
  </si>
  <si>
    <t>Détecter fève/fève/féverole.</t>
  </si>
  <si>
    <t>Protéagineux</t>
  </si>
  <si>
    <t>Féverole</t>
  </si>
  <si>
    <t>farine, ingrédient de galette, mélange</t>
  </si>
  <si>
    <t>Potentiel local; enrichissement protéique.</t>
  </si>
  <si>
    <t>Souvent sous forme transformée; goût à maîtriser.</t>
  </si>
  <si>
    <t>Traces fournisseur; fiches techniques indispensables.</t>
  </si>
  <si>
    <t>Galette céréales-féverole légumes.</t>
  </si>
  <si>
    <t>Intéressant selon achat filière.</t>
  </si>
  <si>
    <t>Classer source protéagineux.</t>
  </si>
  <si>
    <t>Tofu nature</t>
  </si>
  <si>
    <t>dés, grillé, sauté, mariné</t>
  </si>
  <si>
    <t>Bonne source protéique; support de goût.</t>
  </si>
  <si>
    <t>Fade si non mariné/saisi; rejet probable nature.</t>
  </si>
  <si>
    <t>Soja allergène.</t>
  </si>
  <si>
    <t>Tofu mariné soja-gingembre avec riz.</t>
  </si>
  <si>
    <t>Coût variable; rendement stable.</t>
  </si>
  <si>
    <t>Détecter tofu + alerte soja + test sensoriel.</t>
  </si>
  <si>
    <t>Tofu fumé</t>
  </si>
  <si>
    <t>dés, salade, sauté, garniture</t>
  </si>
  <si>
    <t>Goût plus marqué; pratique en cuisine rapide.</t>
  </si>
  <si>
    <t>Sel parfois élevé; goût fumé dominant.</t>
  </si>
  <si>
    <t>Soja allergène; vérifier sel.</t>
  </si>
  <si>
    <t>Tofu fumé lentilles tièdes.</t>
  </si>
  <si>
    <t>Coût plus élevé que légumineuses sèches.</t>
  </si>
  <si>
    <t>Alerte soja + vigilance sel.</t>
  </si>
  <si>
    <t>Tempeh</t>
  </si>
  <si>
    <t>sauté, mariné, grillé</t>
  </si>
  <si>
    <t>Texture ferme, goût fermenté, protéines.</t>
  </si>
  <si>
    <t>Acceptabilité moins évidente; demande préparation.</t>
  </si>
  <si>
    <t>Tempeh laqué + nouilles légumes.</t>
  </si>
  <si>
    <t>Coût souvent plus haut.</t>
  </si>
  <si>
    <t>À tester en pilote avant généralisation.</t>
  </si>
  <si>
    <t>Protéines de soja texturées</t>
  </si>
  <si>
    <t>haché, sauce bolognaise, chili, farce</t>
  </si>
  <si>
    <t>Très pratique pour recettes hachées.</t>
  </si>
  <si>
    <t>Réhydratation, sel, traçabilité produit.</t>
  </si>
  <si>
    <t>Soja allergène; produit parfois transformé.</t>
  </si>
  <si>
    <t>Bolognaise PST tomate légumes.</t>
  </si>
  <si>
    <t>Bon coût portion selon achat.</t>
  </si>
  <si>
    <t>Alerte soja + contrôle fiche technique.</t>
  </si>
  <si>
    <t>Seitan</t>
  </si>
  <si>
    <t>émincé, haché, sauté, grillé</t>
  </si>
  <si>
    <t>Texture mâche proche viande; protéique.</t>
  </si>
  <si>
    <t>Usage interdit sans maîtrise allergène gluten.</t>
  </si>
  <si>
    <t>Gluten/blé; exclu sans gluten.</t>
  </si>
  <si>
    <t>Émincé de seitan aux champignons.</t>
  </si>
  <si>
    <t>Coût variable; bon rendement.</t>
  </si>
  <si>
    <t>Alerte forte gluten obligatoire.</t>
  </si>
  <si>
    <t>Lupin</t>
  </si>
  <si>
    <t>Graines/farine de lupin</t>
  </si>
  <si>
    <t>farine enrichissante, galette, produit préparé</t>
  </si>
  <si>
    <t>Riche en protéines; filière possible.</t>
  </si>
  <si>
    <t>Allergène; goût spécifique.</t>
  </si>
  <si>
    <t>Lupin allergène.</t>
  </si>
  <si>
    <t>Galette végétale lupin-céréales.</t>
  </si>
  <si>
    <t>Variable.</t>
  </si>
  <si>
    <t>Alerte lupin obligatoire.</t>
  </si>
  <si>
    <t>Céréales complémentaires</t>
  </si>
  <si>
    <t>Riz complet</t>
  </si>
  <si>
    <t>base de plat complet</t>
  </si>
  <si>
    <t>Complément énergétique; association avec légumineuses.</t>
  </si>
  <si>
    <t>Seul = pas source protéique principale suffisante.</t>
  </si>
  <si>
    <t>Pas allergène majeur courant; traces.</t>
  </si>
  <si>
    <t>Riz complet + haricots rouges.</t>
  </si>
  <si>
    <t>Bon coût mais cuisson plus longue.</t>
  </si>
  <si>
    <t>Classer complément, pas protéine principale.</t>
  </si>
  <si>
    <t>Semoule / boulgour</t>
  </si>
  <si>
    <t>couscous, taboulé, base céréalière</t>
  </si>
  <si>
    <t>Complément aux pois chiches/lentilles.</t>
  </si>
  <si>
    <t>Contient gluten selon blé.</t>
  </si>
  <si>
    <t>Gluten/blé.</t>
  </si>
  <si>
    <t>Couscous végétarien pois chiches.</t>
  </si>
  <si>
    <t>Économique.</t>
  </si>
  <si>
    <t>Détecter gluten si blé/boulgour/semoule.</t>
  </si>
  <si>
    <t>Pâtes complètes</t>
  </si>
  <si>
    <t>gratin, bolognaise végétale</t>
  </si>
  <si>
    <t>Support connu des convives; féculent complet possible.</t>
  </si>
  <si>
    <t>Gluten; ne suffit pas seul.</t>
  </si>
  <si>
    <t>Gluten/blé selon produit.</t>
  </si>
  <si>
    <t>Pâtes complètes sauce lentilles.</t>
  </si>
  <si>
    <t>Bon coût et acceptabilité.</t>
  </si>
  <si>
    <t>Associer à légumineuse.</t>
  </si>
  <si>
    <t>Pseudo-céréales</t>
  </si>
  <si>
    <t>Quinoa</t>
  </si>
  <si>
    <t>base salade, plat chaud</t>
  </si>
  <si>
    <t>Apport protéique modéré; image saine.</t>
  </si>
  <si>
    <t>Coût souvent élevé; pas indispensable.</t>
  </si>
  <si>
    <t>Quinoa pois chiches légumes rôtis.</t>
  </si>
  <si>
    <t>Coût à surveiller.</t>
  </si>
  <si>
    <t>Ne pas présenter comme solution économique par défaut.</t>
  </si>
  <si>
    <t>Sarrasin</t>
  </si>
  <si>
    <t>galette, kasha, base sans gluten naturel</t>
  </si>
  <si>
    <t>Diversifie les céréales; goût marqué.</t>
  </si>
  <si>
    <t>Acceptabilité à tester; contamination gluten possible.</t>
  </si>
  <si>
    <t>Vérifier traces gluten selon fournisseur.</t>
  </si>
  <si>
    <t>Kasha + champignons + pois cassés.</t>
  </si>
  <si>
    <t>Classer complément; possible sans gluten si certifié.</t>
  </si>
  <si>
    <t>Graines</t>
  </si>
  <si>
    <t>Graines de courge</t>
  </si>
  <si>
    <t>topping, enrichissement, salade</t>
  </si>
  <si>
    <t>Apporte texture, lipides, minéraux, un peu protéines.</t>
  </si>
  <si>
    <t>Pas source principale à l’échelle d’un plat collectif.</t>
  </si>
  <si>
    <t>Traces fruits à coque/sésame possibles.</t>
  </si>
  <si>
    <t>Topping soupe pois cassés.</t>
  </si>
  <si>
    <t>Coût élevé si forte dose.</t>
  </si>
  <si>
    <t>Classer complément texture.</t>
  </si>
  <si>
    <t>Tournesol</t>
  </si>
  <si>
    <t>topping, pâté végétal, sauce</t>
  </si>
  <si>
    <t>Texture, lipides, protéines modérées.</t>
  </si>
  <si>
    <t>Rancissement; gestion stockage.</t>
  </si>
  <si>
    <t>Traces possibles.</t>
  </si>
  <si>
    <t>Pâté végétal lentilles-tournesol.</t>
  </si>
  <si>
    <t>Correct selon achat.</t>
  </si>
  <si>
    <t>Complément, pas base unique.</t>
  </si>
  <si>
    <t>Sésame / tahini</t>
  </si>
  <si>
    <t>sauce, houmous, topping</t>
  </si>
  <si>
    <t>Goût, gras, texture.</t>
  </si>
  <si>
    <t>Allergène; ne pas cacher dans houmous.</t>
  </si>
  <si>
    <t>Sésame allergène.</t>
  </si>
  <si>
    <t>Houmous pois chiches tahini.</t>
  </si>
  <si>
    <t>Coût variable.</t>
  </si>
  <si>
    <t>Alerte sésame obligatoire.</t>
  </si>
  <si>
    <t>Fruits à coque</t>
  </si>
  <si>
    <t>Noix</t>
  </si>
  <si>
    <t>topping, sauce, salade</t>
  </si>
  <si>
    <t>Texture, lipides de qualité, goût.</t>
  </si>
  <si>
    <t>Allergène; coût; interdit selon publics?</t>
  </si>
  <si>
    <t>Fruits à coque allergènes.</t>
  </si>
  <si>
    <t>Salade lentilles noix pomme.</t>
  </si>
  <si>
    <t>Coût élevé.</t>
  </si>
  <si>
    <t>Alerte fruits à coque.</t>
  </si>
  <si>
    <t>Amande / noisette</t>
  </si>
  <si>
    <t>sauce, topping, préparation</t>
  </si>
  <si>
    <t>Texture et goût.</t>
  </si>
  <si>
    <t>Allergène; coût; risque traces.</t>
  </si>
  <si>
    <t>Crumble salé légumes-amande.</t>
  </si>
  <si>
    <t>Steak végétal industriel</t>
  </si>
  <si>
    <t>surgelé, frais, portionné</t>
  </si>
  <si>
    <t>Pratique et standardisé.</t>
  </si>
  <si>
    <t>Sel, additifs, coût, allergènes, image ultra-transformée.</t>
  </si>
  <si>
    <t>Selon composition: soja, gluten, lupin, œuf, lait, sésame.</t>
  </si>
  <si>
    <t>Burger végétal en test pilote.</t>
  </si>
  <si>
    <t>Coût souvent supérieur aux légumineuses maison.</t>
  </si>
  <si>
    <t>Analyser fiche technique avant intégration.</t>
  </si>
  <si>
    <t>Galette céréales-légumineuses</t>
  </si>
  <si>
    <t>surgelé/frais, portionné</t>
  </si>
  <si>
    <t>Facile en service; grammage stable.</t>
  </si>
  <si>
    <t>Peut être sèche; allergènes multiples.</t>
  </si>
  <si>
    <t>Gluten/soja/lupin/sésame selon recette.</t>
  </si>
  <si>
    <t>Galette lentilles-boulgour légumes.</t>
  </si>
  <si>
    <t>Coût moyen; pertes à suivre.</t>
  </si>
  <si>
    <t>Alerte allergènes + test sensoriel.</t>
  </si>
  <si>
    <t>Champignons / mycoprotéines</t>
  </si>
  <si>
    <t>Mycoprotéines</t>
  </si>
  <si>
    <t>émincé, haché, produit préparé</t>
  </si>
  <si>
    <t>Texture intéressante selon produit.</t>
  </si>
  <si>
    <t>Source moins courante; fiches techniques indispensables.</t>
  </si>
  <si>
    <t>Œuf/lait/gluten possibles selon produit.</t>
  </si>
  <si>
    <t>Émincé végétarien sauce tomate.</t>
  </si>
  <si>
    <t>Coût variable souvent élevé.</t>
  </si>
  <si>
    <t>Ne pas classer sans fiche technique.</t>
  </si>
  <si>
    <t>Mélanges légumes secs</t>
  </si>
  <si>
    <t>mélange sec, conserve, surgelé</t>
  </si>
  <si>
    <t>Diversification simple en une recette.</t>
  </si>
  <si>
    <t>Cuissons différentes; texture hétérogène.</t>
  </si>
  <si>
    <t>Selon mélange et fournisseur.</t>
  </si>
  <si>
    <t>Mijoté trois légumineuses.</t>
  </si>
  <si>
    <t>Bon levier achat.</t>
  </si>
  <si>
    <t>Détecter chaque famille si possible.</t>
  </si>
  <si>
    <t>Mois</t>
  </si>
  <si>
    <t>Menus végétariens</t>
  </si>
  <si>
    <t>Recettes soja</t>
  </si>
  <si>
    <t>Recettes seitan/gluten</t>
  </si>
  <si>
    <t>Janvier</t>
  </si>
  <si>
    <t>Février</t>
  </si>
  <si>
    <t>Mars</t>
  </si>
  <si>
    <t>Avril</t>
  </si>
  <si>
    <t>Mai</t>
  </si>
  <si>
    <t>Juin</t>
  </si>
  <si>
    <t>Juillet</t>
  </si>
  <si>
    <t>Août</t>
  </si>
  <si>
    <t>Septembre</t>
  </si>
  <si>
    <t>Octobre</t>
  </si>
  <si>
    <t>Novembre</t>
  </si>
  <si>
    <t>Décembre</t>
  </si>
  <si>
    <t>Indicateur</t>
  </si>
  <si>
    <t>Fréquence</t>
  </si>
  <si>
    <t>Production</t>
  </si>
  <si>
    <t>Pédagogie</t>
  </si>
  <si>
    <t>Signal</t>
  </si>
  <si>
    <t>Variante 1</t>
  </si>
  <si>
    <t>Variante 2</t>
  </si>
  <si>
    <t>Variante 3</t>
  </si>
  <si>
    <t>Variante 4</t>
  </si>
  <si>
    <t>Variante 5</t>
  </si>
  <si>
    <t>Variante 6</t>
  </si>
  <si>
    <t>Variante 7</t>
  </si>
  <si>
    <t>Variante 8</t>
  </si>
  <si>
    <t>Détection</t>
  </si>
  <si>
    <t>Sortie audit</t>
  </si>
  <si>
    <t>substituer</t>
  </si>
  <si>
    <t>remplacer</t>
  </si>
  <si>
    <t>remplacement</t>
  </si>
  <si>
    <t>substitut</t>
  </si>
  <si>
    <t>remplace</t>
  </si>
  <si>
    <t>substitue</t>
  </si>
  <si>
    <t>Vérifier coût, nutrition, allergènes et acceptabilité.</t>
  </si>
  <si>
    <t>alternatives</t>
  </si>
  <si>
    <t>option</t>
  </si>
  <si>
    <t>variante</t>
  </si>
  <si>
    <t>choix vegetal</t>
  </si>
  <si>
    <t>proposition vegetale</t>
  </si>
  <si>
    <t>Présenter comme diversification, sans opposition des publics.</t>
  </si>
  <si>
    <t>legumineuse</t>
  </si>
  <si>
    <t>legumineuses</t>
  </si>
  <si>
    <t>legumes secs</t>
  </si>
  <si>
    <t>lentille</t>
  </si>
  <si>
    <t>pois chiche</t>
  </si>
  <si>
    <t>haricot</t>
  </si>
  <si>
    <t>pois casse</t>
  </si>
  <si>
    <t>feve</t>
  </si>
  <si>
    <t>Classer source végétale; éviter domination lentilles.</t>
  </si>
  <si>
    <t>vegetal</t>
  </si>
  <si>
    <t>vegetale</t>
  </si>
  <si>
    <t>vegetaux</t>
  </si>
  <si>
    <t>vegetarien</t>
  </si>
  <si>
    <t>vegetarienne</t>
  </si>
  <si>
    <t>plat vegetal</t>
  </si>
  <si>
    <t>menu vegetarien</t>
  </si>
  <si>
    <t>Contrôler qu’il existe une vraie source protéique.</t>
  </si>
  <si>
    <t>économie</t>
  </si>
  <si>
    <t>cout portion</t>
  </si>
  <si>
    <t>cout matiere</t>
  </si>
  <si>
    <t>coût matière</t>
  </si>
  <si>
    <t>prix portion</t>
  </si>
  <si>
    <t>budget</t>
  </si>
  <si>
    <t>gaspillage</t>
  </si>
  <si>
    <t>reste</t>
  </si>
  <si>
    <t>Comparer coût servi et coût réellement consommé.</t>
  </si>
  <si>
    <t>sensoriel</t>
  </si>
  <si>
    <t>texture</t>
  </si>
  <si>
    <t>mache</t>
  </si>
  <si>
    <t>mâche</t>
  </si>
  <si>
    <t>jutosite</t>
  </si>
  <si>
    <t>jutosité</t>
  </si>
  <si>
    <t>sec</t>
  </si>
  <si>
    <t>farineux</t>
  </si>
  <si>
    <t>sauce</t>
  </si>
  <si>
    <t>Tester texture après maintien chaud; corriger sauce/liant/cuisson.</t>
  </si>
  <si>
    <t>seitan/gluten</t>
  </si>
  <si>
    <t>gluten de ble</t>
  </si>
  <si>
    <t>gluten de blé</t>
  </si>
  <si>
    <t>proteine de ble</t>
  </si>
  <si>
    <t>protéine de blé</t>
  </si>
  <si>
    <t>ALERTE: utiliser seitan uniquement avec contrôle allergène gluten.</t>
  </si>
  <si>
    <t>Cas à expliquer</t>
  </si>
  <si>
    <t>Exemple pédagogique</t>
  </si>
  <si>
    <t>Ce que le moteur doit conclure</t>
  </si>
  <si>
    <t>Arbitrage économique</t>
  </si>
  <si>
    <t>Une bolognaise lentilles coûte moins cher à l’achat qu’une bolognaise bœuf, mais si 30 % part au retour plateau, le coût réel augmente.</t>
  </si>
  <si>
    <t>Comparer coût matière, temps, pertes et acceptabilité; ne pas conclure seulement sur le prix d’achat.</t>
  </si>
  <si>
    <t>Dire: « on découvre d’autres recettes protéiques » plutôt que « on enlève la viande ».</t>
  </si>
  <si>
    <t>Communication positive: variété, goût, saison, budget, qualité.</t>
  </si>
  <si>
    <t>Une galette végétale sèche est corrigée par sauce, liant, légumes rôtis, taille de coupe, test au maintien chaud.</t>
  </si>
  <si>
    <t>Déclencher audit sensoriel: texture, mâche, jutosité, sauce.</t>
  </si>
  <si>
    <t>Le seitan est une protéine de blé: bon potentiel texture, mais gluten obligatoire.</t>
  </si>
  <si>
    <t>Déclencher ALERTE_GLUTEN et exiger alternative sans gluten si public concerné.</t>
  </si>
  <si>
    <t>Lecture nutritionnelle</t>
  </si>
  <si>
    <t>Un plat végétal doit être lu avec protéines/portion, fibres, sel, lipides, énergie, allergènes et portion servie.</t>
  </si>
  <si>
    <t>Audit nutritionnel complet, pas seulement présence du mot végétal.</t>
  </si>
  <si>
    <t>Les lentilles sont faciles, peu coûteuses et connues; elles servent souvent d’exemple. Mais la diversification doit inclure pois chiches, haricots, pois cassés, fèves, soja, lupin, céréales complètes et graines.</t>
  </si>
  <si>
    <t>Détecter la surreprésentation et proposer rotation de familles.</t>
  </si>
  <si>
    <t>Sources fiables et vérifiables</t>
  </si>
  <si>
    <t>Sources publiques à utiliser pour justifier les règles, les indicateurs et les arbitrages du moteur.</t>
  </si>
  <si>
    <t>Source</t>
  </si>
  <si>
    <t>Pourquoi elle est utile</t>
  </si>
  <si>
    <t>Usage dans le moteur</t>
  </si>
  <si>
    <t>URL vérifiable</t>
  </si>
  <si>
    <t>Remarque d’exploitation</t>
  </si>
  <si>
    <t>Code rural et de la pêche maritime - L230-5-4</t>
  </si>
  <si>
    <t>Base juridique du plan pluriannuel de diversification des sources de protéines.</t>
  </si>
  <si>
    <t>Règles réglementaires, obligation de plan, périmètre.</t>
  </si>
  <si>
    <t>https://www.legifrance.gouv.fr/codes/article_lc/LEGIARTI000043978726</t>
  </si>
  <si>
    <t>À vérifier en cas de changement réglementaire.</t>
  </si>
  <si>
    <t>Ma cantine - mesures EGAlim</t>
  </si>
  <si>
    <t>Point d’entrée officiel sur les mesures de restauration collective.</t>
  </si>
  <si>
    <t>Indicateurs réglementaires et pilotage.</t>
  </si>
  <si>
    <t>À utiliser pour cadrer la conformité.</t>
  </si>
  <si>
    <t>CNRC - cadre général plan protéines</t>
  </si>
  <si>
    <t>Cadre pratique pour construire le plan pluriannuel.</t>
  </si>
  <si>
    <t>Structure du plan, actions, exemples, communication.</t>
  </si>
  <si>
    <t>Source centrale du classeur.</t>
  </si>
  <si>
    <t>Brochure EGAlim / Climat</t>
  </si>
  <si>
    <t>Synthèse des obligations de la restauration collective.</t>
  </si>
  <si>
    <t>Menus végétariens, diversification, information usagers.</t>
  </si>
  <si>
    <t>https://ma-cantine.agriculture.gouv.fr/static/documents/2208_Mesures-LoiEgalim_BRO_V3.pdf</t>
  </si>
  <si>
    <t>Utile pour formation gestionnaires.</t>
  </si>
  <si>
    <t>GEMRCN - plats protidiques</t>
  </si>
  <si>
    <t>Définit le plat protidique végétarien et les associations végétales utiles.</t>
  </si>
  <si>
    <t>Règles nutritionnelles, céréales + légumes secs, seitan/gluten.</t>
  </si>
  <si>
    <t>Très utile pour éviter le plat végétal pauvre en protéines.</t>
  </si>
  <si>
    <t>ANSES - Table Ciqual</t>
  </si>
  <si>
    <t>Référence française de composition nutritionnelle.</t>
  </si>
  <si>
    <t>Lecture protéines, sel, fibres, lipides, énergie.</t>
  </si>
  <si>
    <t>À utiliser pour chiffrer les recettes.</t>
  </si>
  <si>
    <t>Ciqual - base en ligne</t>
  </si>
  <si>
    <t>Base de recherche aliments.</t>
  </si>
  <si>
    <t>Valeurs nutritionnelles par aliment.</t>
  </si>
  <si>
    <t>https://ciqual.anses.fr/</t>
  </si>
  <si>
    <t>À citer dans fiches recettes.</t>
  </si>
  <si>
    <t>Manger Bouger / PNNS - légumes secs</t>
  </si>
  <si>
    <t>Recommandation de consommation de légumes secs.</t>
  </si>
  <si>
    <t>Argument pédagogique sur légumineuses et fibres.</t>
  </si>
  <si>
    <t>Permet de justifier sans discours culpabilisant.</t>
  </si>
  <si>
    <t>ADEME - alimentation durable en restauration collective</t>
  </si>
  <si>
    <t>Guide pratique sur alimentation durable et restauration collective.</t>
  </si>
  <si>
    <t>Arbitrages, méthode, acceptabilité, organisation.</t>
  </si>
  <si>
    <t>Source méthode terrain.</t>
  </si>
  <si>
    <t>ADEME - gaspillage alimentaire restauration collective</t>
  </si>
  <si>
    <t>Leviers de réduction du gaspillage en restauration collective.</t>
  </si>
  <si>
    <t>Indicateurs de pertes, coût réel, retours plateau.</t>
  </si>
  <si>
    <t>Indispensable pour arbitrage économique réel.</t>
  </si>
  <si>
    <t>MODE D’EMPLOI — PLAN PROTÉINES / MOTEUR PÉDAGOGIQUE</t>
  </si>
  <si>
    <t>Objectif</t>
  </si>
  <si>
    <t>Ce classeur sert à construire, expliquer et auditer un plan pluriannuel de diversification des sources de protéines en restauration collective. Il n’est pas seulement décoratif : il contient une base métier, des règles moteur, une liste de protéines, des indicateurs et un moteur de démonstration.</t>
  </si>
  <si>
    <t>Principe simple</t>
  </si>
  <si>
    <t>Le formateur ou le gestionnaire part d’un thème, d’une action terrain ou d’un texte de projet. Le moteur détecte des mots-clés, classe les points à contrôler, puis produit un résumé audit exploitable en formation CFA ou en réunion de production.</t>
  </si>
  <si>
    <t>Onglet</t>
  </si>
  <si>
    <t>À quoi il sert</t>
  </si>
  <si>
    <t>Ce que le formateur peut faire</t>
  </si>
  <si>
    <t>Ce qu’il ne faut pas modifier</t>
  </si>
  <si>
    <t>Utilisation pédagogique</t>
  </si>
  <si>
    <t>Base principale : thèmes, objectifs, actions terrain, freins, solutions, indicateurs et sources.</t>
  </si>
  <si>
    <t>Filtrer, lire, compléter les lignes métier si besoin.</t>
  </si>
  <si>
    <t>Ne pas supprimer les colonnes de structure. Garder les intitulés de colonnes.</t>
  </si>
  <si>
    <t>Faire travailler les jeunes sur une action concrète : coût, goût, nutrition, organisation, acceptabilité.</t>
  </si>
  <si>
    <t>Transforme le plan en règles exploitables par moteur Excel : mots-clés, décisions, contrôles, faux positifs.</t>
  </si>
  <si>
    <t>Ajouter des mots-clés ou règles complémentaires.</t>
  </si>
  <si>
    <t>Ne pas mélanger règle, source et commentaire dans une même cellule.</t>
  </si>
  <si>
    <t>Montrer qu’un moteur Excel lit des indices textuels et ne comprend pas tout seul le contexte.</t>
  </si>
  <si>
    <t>Liste élargie des sources végétales : légumineuses, soja, céréales, graines, oléagineux, seitan, alternatives.</t>
  </si>
  <si>
    <t>Choisir des familles variées pour éviter de citer toujours les lentilles.</t>
  </si>
  <si>
    <t>Ne pas considérer toutes les protéines comme équivalentes : allergènes, coût, texture, acceptabilité et usage diffèrent.</t>
  </si>
  <si>
    <t>Comparer plusieurs sources : pois chiche, haricot, fève, pois cassé, tofu, tempeh, seitan, graines.</t>
  </si>
  <si>
    <t>Tableau de pilotage : menus, diversité, coût portion, gaspillage, satisfaction, allergènes, fréquence.</t>
  </si>
  <si>
    <t>Renseigner les valeurs de suivi mensuel.</t>
  </si>
  <si>
    <t>Ne pas remplacer les indicateurs par des impressions subjectives seules.</t>
  </si>
  <si>
    <t>Faire comprendre qu’un plan protéines se pilote avec des chiffres simples.</t>
  </si>
  <si>
    <t>Ancien onglet d’audit : sert à tester les détections et à produire un résumé court.</t>
  </si>
  <si>
    <t>Saisir ou coller des phrases à tester.</t>
  </si>
  <si>
    <t>Ne pas supprimer les mots-clés ni les formules de détection.</t>
  </si>
  <si>
    <t>Lire le diagnostic et débattre des arbitrages.</t>
  </si>
  <si>
    <t>Onglet ajouté : moteur visible, simple, testable. Il détecte substitution, alternative, légumineuse, végétal, coût, bouche, seitan, gluten, nutrition.</t>
  </si>
  <si>
    <t>Coller un texte en B4 puis lire les résultats en D9:D20 et le résumé en B23:B31.</t>
  </si>
  <si>
    <t>Ne pas effacer les formules en D9:D20 et B23:B31.</t>
  </si>
  <si>
    <t>Démonstration immédiate devant un groupe : on saisit une phrase, le moteur réagit.</t>
  </si>
  <si>
    <t>Références publiques vérifiables utilisées pour sécuriser le contenu.</t>
  </si>
  <si>
    <t>Consulter les liens et ajouter une source fiable si besoin.</t>
  </si>
  <si>
    <t>Ne pas mettre de source vague du type internet, blog inconnu ou opinion personnelle.</t>
  </si>
  <si>
    <t>Apprendre aux jeunes à distinguer consigne, preuve et opinion.</t>
  </si>
  <si>
    <t>1. Lire une ligne de Plan_proteines_moteur. 2. Repérer la protéine et le frein. 3. Vérifier la règle dans Regles_moteur. 4. Tester une phrase dans Moteur_demo_CFA. 5. Lire le résumé audit. 6. Choisir un indicateur dans Indicateurs_suivi.</t>
  </si>
  <si>
    <t>Remplacer une partie d’un plat carné par des légumineuses peut réduire le coût matière, mais le gain réel dépend du rendement après cuisson, du temps de préparation, du gaspillage, de l’acceptation par les convives et de la capacité de production. Le bon arbitrage n’est pas “végétal = moins cher”, mais “coût portion + satisfaction + équilibre nutritionnel + organisation”.</t>
  </si>
  <si>
    <t>Présenter le plan comme une diversification progressive, pas comme une opposition viande contre végétal. Le message terrain : on élargit les sources de protéines, on garde le plaisir alimentaire, on respecte les habitudes des publics, on sécurise les allergènes et on pilote les coûts.</t>
  </si>
  <si>
    <t>Un plat végétal doit être travaillé sur texture, humidité, mâche, sauce, assaisonnement et température. Exemple : un hachis aux lentilles ou pois chiches sera mieux accepté si la garniture reste moelleuse, bien liée, avec une sauce courte, une croûte gratinée et un assaisonnement net.</t>
  </si>
  <si>
    <t>Le seitan est riche en protéines mais il est fabriqué à partir de gluten de blé. Il doit donc être utilisé uniquement avec contrôle allergène gluten, signalement clair, procédure de substitution pour les convives concernés et vigilance contre les contaminations croisées.</t>
  </si>
  <si>
    <t>Un plat végétal ne se juge pas seulement au mot “végétal”. Exemple : comparer protéines par portion, fibres, sel, matières grasses, niveau de transformation, complémentarité céréale/légumineuse, présence d’allergènes et densité énergétique.</t>
  </si>
  <si>
    <t>Les lentilles sont souvent citées parce qu’elles sont connues, économiques, faciles à stocker et parlantes en formation. Mais le plan doit varier : pois chiches, haricots rouges/blancs, pois cassés, fèves, féverole, soja, tofu, tempeh, graines, céréales et associations céréales-légumineuses.</t>
  </si>
  <si>
    <t>Les zones de saisie et d’ajout de lignes métier sont modifiables. Les cellules contenant des formules ou des règles de détection doivent être conservées.</t>
  </si>
  <si>
    <t>Compatibilité Excel 2021</t>
  </si>
  <si>
    <t>Les onglets ajoutés sont sans VBA, sans TEXTEJOIN, sans LET, sans FILTRE, sans UNIQUE, sans SEQUENCE, sans formule matricielle volontaire, sans symbole d’intersection implicite, sans liaison externe et sans cellule fusionnée.</t>
  </si>
  <si>
    <t>MOTEUR DÉMO CFA — DÉTECTION ET RÉSUMÉ AUDIT</t>
  </si>
  <si>
    <t>Coller une phrase ou un mini-projet en B4. Exemple : Nous cherchons une alternative végétale avec légumineuse, mais il faut maîtriser le coût, le ressenti en bouche et le gluten si seitan.</t>
  </si>
  <si>
    <t>Lecture</t>
  </si>
  <si>
    <t>Si D = OUI, le mot-clé est présent dans le texte saisi. Le résumé en B23:B31 explique le niveau d’attention.</t>
  </si>
  <si>
    <t>Mot-clé détecté</t>
  </si>
  <si>
    <t>Type de contrôle</t>
  </si>
  <si>
    <t>Résultat</t>
  </si>
  <si>
    <t>Message affiché</t>
  </si>
  <si>
    <t>Action formateur</t>
  </si>
  <si>
    <t>Arbitrage</t>
  </si>
  <si>
    <t>Repérer un remplacement direct d’une protéine animale ou d’un plat existant.</t>
  </si>
  <si>
    <t>Substitution détectée : vérifier coût, acceptabilité, nutrition et organisation.</t>
  </si>
  <si>
    <t>Demander : que remplace-t-on exactement ?</t>
  </si>
  <si>
    <t>Repérer une solution de remplacement ou de diversification.</t>
  </si>
  <si>
    <t>Alternative détectée : comparer plusieurs options au lieu d’en imposer une seule.</t>
  </si>
  <si>
    <t>Comparer lentilles, pois chiches, haricots, tofu, seitan.</t>
  </si>
  <si>
    <t>Famille végétale</t>
  </si>
  <si>
    <t>Repérer la famille pois, lentilles, haricots, fèves.</t>
  </si>
  <si>
    <t>Légumineuse détectée : vérifier cuisson, texture, fréquence et digestibilité.</t>
  </si>
  <si>
    <t>Faire citer plusieurs légumineuses, pas seulement les lentilles.</t>
  </si>
  <si>
    <t>Variante sans accent pour sécuriser la saisie.</t>
  </si>
  <si>
    <t>Légumineuse détectée sans accent : même contrôle.</t>
  </si>
  <si>
    <t>Expliquer l’importance des variantes dans un moteur.</t>
  </si>
  <si>
    <t>Orientation menu</t>
  </si>
  <si>
    <t>Repérer une formulation végétale.</t>
  </si>
  <si>
    <t>Végétal détecté : ne pas conclure automatiquement que le plat est équilibré.</t>
  </si>
  <si>
    <t>Demander la lecture nutritionnelle.</t>
  </si>
  <si>
    <t>Végétal détecté sans accent : même contrôle.</t>
  </si>
  <si>
    <t>Faire corriger les mots avec et sans accent.</t>
  </si>
  <si>
    <t>coût</t>
  </si>
  <si>
    <t>Repérer l’arbitrage économique.</t>
  </si>
  <si>
    <t>Coût détecté : raisonner coût portion, rendement, gaspillage et temps de production.</t>
  </si>
  <si>
    <t>Comparer prix matière et coût réel assiette.</t>
  </si>
  <si>
    <t>cout</t>
  </si>
  <si>
    <t>Coût détecté sans accent : même contrôle.</t>
  </si>
  <si>
    <t>Montrer que le moteur doit tolérer les graphies.</t>
  </si>
  <si>
    <t>bouche</t>
  </si>
  <si>
    <t>Repérer texture, mâche, humidité, sauce, plaisir.</t>
  </si>
  <si>
    <t>Ressenti en bouche détecté : travailler texture, sauce, assaisonnement et température.</t>
  </si>
  <si>
    <t>Faire proposer une amélioration culinaire.</t>
  </si>
  <si>
    <t>Allergène / produit</t>
  </si>
  <si>
    <t>Repérer une source végétale riche en protéines mais à risque gluten.</t>
  </si>
  <si>
    <t>Seitan détecté : contrôle allergène gluten obligatoire.</t>
  </si>
  <si>
    <t>Questionner l’étiquetage et la substitution.</t>
  </si>
  <si>
    <t>gluten</t>
  </si>
  <si>
    <t>Allergène</t>
  </si>
  <si>
    <t>Repérer un allergène majeur associé au seitan ou aux céréales.</t>
  </si>
  <si>
    <t>Gluten détecté : vérifier déclaration, convives concernés et contamination croisée.</t>
  </si>
  <si>
    <t>Demander une procédure de sécurité.</t>
  </si>
  <si>
    <t>nutrition</t>
  </si>
  <si>
    <t>Équilibre</t>
  </si>
  <si>
    <t>Repérer la lecture nutritionnelle du plat.</t>
  </si>
  <si>
    <t>Nutrition détectée : vérifier protéines par portion, fibres, sel, matières grasses, transformation.</t>
  </si>
  <si>
    <t>Faire comparer deux recettes.</t>
  </si>
  <si>
    <t>RÉSUMÉ AUDIT AUTOMATIQUE</t>
  </si>
  <si>
    <t>Coût</t>
  </si>
  <si>
    <t>1. Nous voulons une alternative végétale avec pois chiches et une sauce plus moelleuse.</t>
  </si>
  <si>
    <t>2. Le seitan est proposé comme substitution, attention au gluten.</t>
  </si>
  <si>
    <t>3. La recette végétale doit rester acceptable en bouche et maîtriser le coût portion.</t>
  </si>
  <si>
    <t>Formules utilisées</t>
  </si>
  <si>
    <t>4;Le seitan peut être utilisé ponctuellement, mais uniquement avec un contrôle clair de l’allergène gluten et une information précise pour les convives.;seitan / gluten</t>
  </si>
  <si>
    <t>Le responsable de production veut réduire le coût matière en remplaçant une partie de la viande par des protéines végétales. La solution proposée est une bolognaise de lentilles, mais le formateur demande de ne pas se limiter aux lentilles et de tester aussi pois chiches, haricots rouges, pois cassés et tofu. L’audit doit vérifier le coût portion, la diversité des sources, l’acceptabilité des convives et le gaspillage.</t>
  </si>
  <si>
    <t>Le chef propose du seitan dans un plat végétal pour améliorer la texture. Le moteur doit signaler que cette alternative contient du gluten et qu’elle nécessite un contrôle allergène strict. Le plat peut être intéressant en bouche, mais il ne doit pas être proposé comme solution unique à tous les publics.</t>
  </si>
  <si>
    <t>Le menu végétarien est présenté comme une contrainte réglementaire. Le formateur doit reformuler : il ne s’agit pas de culpabiliser les convives ni d’opposer viande et végétal, mais d’élargir les choix, de maîtriser les coûts, de varier les sources de protéines et d’améliorer progressivement la qualité nutritionnelle.</t>
  </si>
  <si>
    <t>Le plan cite trop souvent les lentilles. C’est une source utile, économique et facile à intégrer, mais elle ne doit pas masquer les autres protéines végétales : pois chiches, haricots blancs, haricots rouges, fèves, pois cassés, soja, tofu, tempeh, lupin, graines et céréales complémentaires.</t>
  </si>
  <si>
    <t>Dans le cadre du plan pluriannuel de diversification des protéines, l’établissement veut introduire progressivement des alternatives végétales sans présenter cela comme une punition ou une opposition aux plats carnés. Le premier test concerne un chili végétal aux haricots rouges, puis un dhal de pois cassés et une sauce bolognaise aux lentilles. Le responsable doit comparer le coût portion, le temps de préparation, le gaspillage et la satisfaction des convives. Le formateur insiste sur la lecture nutritionnelle : la recette doit contenir une vraie source de protéines, une garniture cohérente, une sauce et une texture agréable en bouche. Le seitan est envisagé seulement ponctuellement, avec contrôle obligatoire de l’allergène gluten.</t>
  </si>
  <si>
    <t>But : un moteur visible, testable et recopiable. Saisie en C4, dictionnaire en B9:G81, résumé par famille ligne 85. Résumé audit automatique ligne 96 - Compatible Excel 2021 : sans TEXTEJOIN, sans LET, sans formule dynamique, sans symbole d’intersection implicite.</t>
  </si>
  <si>
    <t>Mode d'emploi court</t>
  </si>
  <si>
    <t>Mot-clé</t>
  </si>
  <si>
    <t>Type</t>
  </si>
  <si>
    <t>Priorité</t>
  </si>
  <si>
    <t>Détecté</t>
  </si>
  <si>
    <t>Action audit</t>
  </si>
  <si>
    <t>Message pédagogique</t>
  </si>
  <si>
    <t>PLAN_DIVERSIFICATION</t>
  </si>
  <si>
    <t>Demander : que remplace-t-on, pourquoi, avec quel coût, quelle acceptabilité et quel suivi ?</t>
  </si>
  <si>
    <t>substitution progressive d’une partie de la viande</t>
  </si>
  <si>
    <t>Faire citer au moins 3 options : pois chiches, haricots, tofu, céréales associées.</t>
  </si>
  <si>
    <t>alternative végétale au plat carné</t>
  </si>
  <si>
    <t>Comparer coût portion, faisabilité, goût, allergènes et gaspillage.</t>
  </si>
  <si>
    <t>plusieurs alternatives végétales</t>
  </si>
  <si>
    <t>Positionnement</t>
  </si>
  <si>
    <t>Reformuler en élargissement de l’offre et maîtrise progressive, pas en opposition des publics.</t>
  </si>
  <si>
    <t>plat végétal bien expliqué</t>
  </si>
  <si>
    <t>Même action que végétal.</t>
  </si>
  <si>
    <t>légumineuse dans un plat complet</t>
  </si>
  <si>
    <t>Même action que légumineuse.</t>
  </si>
  <si>
    <t>légumineuses</t>
  </si>
  <si>
    <t>Demander un cycle avec pois chiches, haricots, pois cassés, fèves.</t>
  </si>
  <si>
    <t>plusieurs légumineuses</t>
  </si>
  <si>
    <t>Même action que légumineuses.</t>
  </si>
  <si>
    <t>ECONOMIE</t>
  </si>
  <si>
    <t>Ne jamais conclure uniquement sur le prix de la protéine brute.</t>
  </si>
  <si>
    <t>coût portion contrôlé</t>
  </si>
  <si>
    <t>Même action que coût.</t>
  </si>
  <si>
    <t>prix</t>
  </si>
  <si>
    <t>Ajouter temps de préparation, énergie, déchets, retours plateaux.</t>
  </si>
  <si>
    <t>prix matière</t>
  </si>
  <si>
    <t>Comparer par cycle de menus, famille de plats et saison.</t>
  </si>
  <si>
    <t>budget annuel</t>
  </si>
  <si>
    <t>Mesurer les restes avant de supprimer une recette.</t>
  </si>
  <si>
    <t>gaspillage sur plat végétal</t>
  </si>
  <si>
    <t>COMMUNICATION_PUBLICS</t>
  </si>
  <si>
    <t>culpabiliser</t>
  </si>
  <si>
    <t>Reformuler : diversification, choix, goût, saison, qualité, maîtrise des coûts.</t>
  </si>
  <si>
    <t>ne pas culpabiliser les convives</t>
  </si>
  <si>
    <t>opposer</t>
  </si>
  <si>
    <t>Présenter les recettes comme une offre élargie, pas comme une sanction.</t>
  </si>
  <si>
    <t>ne pas opposer les publics</t>
  </si>
  <si>
    <t>convives</t>
  </si>
  <si>
    <t>Faire tester le nom du plat et la présentation au self.</t>
  </si>
  <si>
    <t>acceptabilité des convives</t>
  </si>
  <si>
    <t>acceptabilité</t>
  </si>
  <si>
    <t>Mesurer satisfaction et retours plateaux.</t>
  </si>
  <si>
    <t>acceptabilité du plat végétal</t>
  </si>
  <si>
    <t>satisfaction</t>
  </si>
  <si>
    <t>Créer indicateur simple : apprécié / neutre / refusé.</t>
  </si>
  <si>
    <t>satisfaction convive</t>
  </si>
  <si>
    <t>RESSENTI_BOUCHE</t>
  </si>
  <si>
    <t>Faire tester une bouchée après maintien au chaud, pas seulement à la sortie de cuisson.</t>
  </si>
  <si>
    <t>Contrôler texture, assaisonnement, sauce, température et nom du plat.</t>
  </si>
  <si>
    <t>ressenti en bouche agréable</t>
  </si>
  <si>
    <t>Corriger sauce, cuisson, liaison, taille de coupe ou garniture.</t>
  </si>
  <si>
    <t>texture trop sèche</t>
  </si>
  <si>
    <t>goût</t>
  </si>
  <si>
    <t>Faire valider par dégustation terrain.</t>
  </si>
  <si>
    <t>goût équilibré</t>
  </si>
  <si>
    <t>gout</t>
  </si>
  <si>
    <t>Même action que goût.</t>
  </si>
  <si>
    <t>gout équilibré</t>
  </si>
  <si>
    <t>moelleux</t>
  </si>
  <si>
    <t>Éviter les galettes ou boulettes sèches.</t>
  </si>
  <si>
    <t>moelleux suffisant</t>
  </si>
  <si>
    <t>Ajouter sauce, liant, garniture juteuse ou revoir cuisson.</t>
  </si>
  <si>
    <t>plat sec</t>
  </si>
  <si>
    <t>sèche</t>
  </si>
  <si>
    <t>Même action que sec.</t>
  </si>
  <si>
    <t>recette sèche</t>
  </si>
  <si>
    <t>seche</t>
  </si>
  <si>
    <t>Même action que sèche.</t>
  </si>
  <si>
    <t>recette seche</t>
  </si>
  <si>
    <t>Revoir mixage, cuisson des légumineuses, sauce et granulométrie.</t>
  </si>
  <si>
    <t>ressenti farineux</t>
  </si>
  <si>
    <t>farineuse</t>
  </si>
  <si>
    <t>Même action que farineux.</t>
  </si>
  <si>
    <t>texture farineuse</t>
  </si>
  <si>
    <t>fondant</t>
  </si>
  <si>
    <t>Vérifier que le fondant ne devient pas pâteux.</t>
  </si>
  <si>
    <t>fondant correct</t>
  </si>
  <si>
    <t>Ajouter élément croquant, céréale, légume ou cuisson adaptée.</t>
  </si>
  <si>
    <t>mâche agréable</t>
  </si>
  <si>
    <t>Même action que mâche.</t>
  </si>
  <si>
    <t>mache agréable</t>
  </si>
  <si>
    <t>croquant</t>
  </si>
  <si>
    <t>Adapter selon enfants, EHPAD, hôpital ou self adulte.</t>
  </si>
  <si>
    <t>élément croquant</t>
  </si>
  <si>
    <t>onctueux</t>
  </si>
  <si>
    <t>Travailler purée, sauce, légume mixé, yaourt ou matière grasse adaptée.</t>
  </si>
  <si>
    <t>sauce onctueuse</t>
  </si>
  <si>
    <t>tenue au chaud</t>
  </si>
  <si>
    <t>Tester après durée réelle de service, pas seulement à chaud immédiat.</t>
  </si>
  <si>
    <t>tenue au chaud de 45 minutes</t>
  </si>
  <si>
    <t>assaisonnement</t>
  </si>
  <si>
    <t>Travailler épices, acidité, herbes, sel maîtrisé et sauce.</t>
  </si>
  <si>
    <t>assaisonnement précis</t>
  </si>
  <si>
    <t>Standardiser quantité et texture de sauce au service.</t>
  </si>
  <si>
    <t>sauce adaptée</t>
  </si>
  <si>
    <t>Faire identifier la composante protidique réelle, pas seulement le légume.</t>
  </si>
  <si>
    <t>nutritionnel</t>
  </si>
  <si>
    <t>Même action que nutrition.</t>
  </si>
  <si>
    <t>plan nutritionnel</t>
  </si>
  <si>
    <t>protéine</t>
  </si>
  <si>
    <t>Demander quelle source apporte réellement les protéines.</t>
  </si>
  <si>
    <t>source de protéine</t>
  </si>
  <si>
    <t>proteine</t>
  </si>
  <si>
    <t>Même action que protéine.</t>
  </si>
  <si>
    <t>source de proteine</t>
  </si>
  <si>
    <t>protéines</t>
  </si>
  <si>
    <t>Demander les familles sur le cycle.</t>
  </si>
  <si>
    <t>sources de protéines</t>
  </si>
  <si>
    <t>proteines</t>
  </si>
  <si>
    <t>Même action que protéines.</t>
  </si>
  <si>
    <t>sources de proteines</t>
  </si>
  <si>
    <t>équilibre</t>
  </si>
  <si>
    <t>Contrôler féculent, légumineuse, légumes, sauce, produit laitier ou complément selon menu.</t>
  </si>
  <si>
    <t>équilibre du repas</t>
  </si>
  <si>
    <t>equilibre</t>
  </si>
  <si>
    <t>Même action que équilibre.</t>
  </si>
  <si>
    <t>equilibre du repas</t>
  </si>
  <si>
    <t>apport protéique</t>
  </si>
  <si>
    <t>Comparer portion, recette et public servi.</t>
  </si>
  <si>
    <t>apport protéique suffisant</t>
  </si>
  <si>
    <t>apport proteique</t>
  </si>
  <si>
    <t>Même action que apport protéique.</t>
  </si>
  <si>
    <t>plat complet</t>
  </si>
  <si>
    <t>Exiger la description des familles : légumineuse/céréale/légume/sauce.</t>
  </si>
  <si>
    <t>plat complet végétal</t>
  </si>
  <si>
    <t>céréale</t>
  </si>
  <si>
    <t>Associer à légumineuse quand c’est pertinent.</t>
  </si>
  <si>
    <t>céréale associée</t>
  </si>
  <si>
    <t>cereale</t>
  </si>
  <si>
    <t>Même action que céréale.</t>
  </si>
  <si>
    <t>cereale associée</t>
  </si>
  <si>
    <t>fibres</t>
  </si>
  <si>
    <t>Contrôler digestibilité et acceptabilité selon public.</t>
  </si>
  <si>
    <t>fibres des légumineuses</t>
  </si>
  <si>
    <t>fer</t>
  </si>
  <si>
    <t>Relier à variété, légumes, fruits et équilibre global.</t>
  </si>
  <si>
    <t>apport en fer</t>
  </si>
  <si>
    <t>ALLERGENE_GLUTEN</t>
  </si>
  <si>
    <t>Allergène / ingrédient</t>
  </si>
  <si>
    <t>Contrôle allergène obligatoire, affichage clair, alternative prévue.</t>
  </si>
  <si>
    <t>seitan avec gluten</t>
  </si>
  <si>
    <t>Ne jamais proposer seitan sans information allergène.</t>
  </si>
  <si>
    <t>allergène gluten</t>
  </si>
  <si>
    <t>SOURCE_PROTEINE_VEGETALE</t>
  </si>
  <si>
    <t>lentilles</t>
  </si>
  <si>
    <t>Demander au moins 4 autres sources sur le cycle.</t>
  </si>
  <si>
    <t>Travailler cuisson, sauce et digestibilité.</t>
  </si>
  <si>
    <t>pois chiche en curry</t>
  </si>
  <si>
    <t>Même action que pois chiche.</t>
  </si>
  <si>
    <t>pois chiches en salade</t>
  </si>
  <si>
    <t>Préciser rouges, blancs, noirs selon recette.</t>
  </si>
  <si>
    <t>Contrôler texture et assaisonnement.</t>
  </si>
  <si>
    <t>Tester auprès du public avant généralisation.</t>
  </si>
  <si>
    <t>feves</t>
  </si>
  <si>
    <t>Même action que fèves.</t>
  </si>
  <si>
    <t>féverole</t>
  </si>
  <si>
    <t>Vérifier disponibilité fournisseur et acceptabilité.</t>
  </si>
  <si>
    <t>féverole locale</t>
  </si>
  <si>
    <t>feverole</t>
  </si>
  <si>
    <t>Même action que féverole.</t>
  </si>
  <si>
    <t>Source végétale / allergène possible</t>
  </si>
  <si>
    <t>Informer et prévoir alternatives.</t>
  </si>
  <si>
    <t>Éviter tofu neutre non assaisonné.</t>
  </si>
  <si>
    <t>tofu mariné</t>
  </si>
  <si>
    <t>Tester acceptabilité et coût.</t>
  </si>
  <si>
    <t>Vérifier étiquetage et public servi.</t>
  </si>
  <si>
    <t>quinoa</t>
  </si>
  <si>
    <t>Comparer coût portion et origine.</t>
  </si>
  <si>
    <t>sarrasin</t>
  </si>
  <si>
    <t>Associer à une vraie source protidique si nécessaire.</t>
  </si>
  <si>
    <t>graines</t>
  </si>
  <si>
    <t>Contrôler allergènes, coût et acceptabilité.</t>
  </si>
  <si>
    <t>Source végétale / process</t>
  </si>
  <si>
    <t>Comparer à légumineuses brutes ou semi-transformées.</t>
  </si>
  <si>
    <t>proteines de soja texturees</t>
  </si>
  <si>
    <t>Même action que protéines de soja texturées.</t>
  </si>
  <si>
    <t>Résumé par famille</t>
  </si>
  <si>
    <t>Rôle</t>
  </si>
  <si>
    <t>Nb détecté</t>
  </si>
  <si>
    <t>Statut</t>
  </si>
  <si>
    <t>Détecte substitution, alternative, végétal, légumineuse.</t>
  </si>
  <si>
    <t>Vérifier que le plan ne réduit pas le sujet à un remplacement brutal.</t>
  </si>
  <si>
    <t>Détecte coût, prix, budget, gaspillage.</t>
  </si>
  <si>
    <t>Comparer coût matière, temps de production, pertes et acceptabilité.</t>
  </si>
  <si>
    <t>Détecte culpabilisation, opposition des publics, acceptabilité.</t>
  </si>
  <si>
    <t>Reformuler sans culpabiliser ni opposer viande et végétal.</t>
  </si>
  <si>
    <t>Détecte bouche, texture, goût, sauce, assaisonnement, tenue au chaud.</t>
  </si>
  <si>
    <t>Tester texture, sauce, assaisonnement et tenue réelle au chaud.</t>
  </si>
  <si>
    <t>Détecte protéines, équilibre, plat complet, légumineuse, céréale, fibres, fer.</t>
  </si>
  <si>
    <t>Vérifier source protéique réelle, plat complet, fibres, fer et équilibre.</t>
  </si>
  <si>
    <t>Détecte seitan et gluten ; contrôle allergène obligatoire.</t>
  </si>
  <si>
    <t>Seitan uniquement avec contrôle allergène gluten et affichage clair.</t>
  </si>
  <si>
    <t>Détecte sources végétales variées pour éviter le réflexe lentilles uniquement.</t>
  </si>
  <si>
    <t>Diversifier au-delà des lentilles : pois chiches, haricots, soja, tofu, etc.</t>
  </si>
  <si>
    <t>Résumé audit automatique</t>
  </si>
  <si>
    <t>Sources à intégrer dans le plan</t>
  </si>
  <si>
    <t>Point de vigilance</t>
  </si>
  <si>
    <t>lentilles, pois chiches, haricots rouges, haricots blancs, pois cassés, fèves, féverole</t>
  </si>
  <si>
    <t>Varier les familles ; éviter de servir toujours la même base.</t>
  </si>
  <si>
    <t>Soja et dérivés</t>
  </si>
  <si>
    <t>soja, tofu, tempeh, protéines de soja texturées</t>
  </si>
  <si>
    <t>Contrôle allergène soja ; travailler marinade, goût et texture.</t>
  </si>
  <si>
    <t>Céréales et pseudo-céréales</t>
  </si>
  <si>
    <t>riz, blé, sarrasin, quinoa, semoule, boulgour</t>
  </si>
  <si>
    <t>Complément utile, mais ne pas confondre féculent et source protéique suffisante.</t>
  </si>
  <si>
    <t>Autres sources</t>
  </si>
  <si>
    <t>lupin, graines, fruits à coque selon recettes</t>
  </si>
  <si>
    <t>Allergènes possibles ; coût et acceptabilité à vérifier.</t>
  </si>
  <si>
    <t>Uniquement avec contrôle allergène gluten ; pas de solution universelle.</t>
  </si>
  <si>
    <t>bouche; ressenti en bouche; texture; goût; gout; moelleux; sec; sèche; seche; farineux; farineuse; fondant; mâche; mache; croquant; onctueux; tenue au chaud; assaisonnement; sauce</t>
  </si>
  <si>
    <t>Le moteur ne doit pas attendre uniquement le mot bouche : texture, goût, sauce, assaisonnement et tenue au chaud sont des signaux d’acceptabilité.</t>
  </si>
  <si>
    <t>nutrition; nutritionnel; nutritionnelle; protéine; proteine; protéines; proteines; équilibre; equilibre; apport protéique; apport proteique; plat complet; légumineuse; legumineuse; légumineuses; legumineuses; céréale; cereale; céréales; cereales; fibres; fer</t>
  </si>
  <si>
    <t>Le moteur ne doit pas attendre uniquement le mot nutrition : il doit reconnaître source protéique, plat complet, fibres, fer et équilibre.</t>
  </si>
  <si>
    <t>R029</t>
  </si>
  <si>
    <t>dictionnaire RESSENTI_BOUCHE élargi</t>
  </si>
  <si>
    <t>bouche; texture; goût/gout; moelleux; sec/sèche/seche; farineux; fondant; mâche/mache; croquant; onctueux; tenue au chaud; assaisonnement; sauce</t>
  </si>
  <si>
    <t>Déclencher un résumé sensoriel si au moins un terme est détecté.</t>
  </si>
  <si>
    <t>Recette végétale sèche mais corrigée par sauce, assaisonnement et tenue au chaud.</t>
  </si>
  <si>
    <t>Famille prioritaire avant généralisation : une recette acceptée en bouche limite le rejet et les retours plateau.</t>
  </si>
  <si>
    <t>R030</t>
  </si>
  <si>
    <t>dictionnaire NUTRITION élargi</t>
  </si>
  <si>
    <t>nutrition; protéine/proteine; protéines/proteines; équilibre/equilibre; apport protéique/proteique; plat complet; légumineuse/legumineuse; céréale/cereale; fibres; fer</t>
  </si>
  <si>
    <t>Déclencher lecture nutritionnelle même si le mot nutrition est absent.</t>
  </si>
  <si>
    <t>Pois chiches + céréale + légumes : vérifier protéines, fibres, fer, sel et portion.</t>
  </si>
  <si>
    <t>Une recette végétale n’est pas validée par son nom : elle doit être lisible nutritionnellement.</t>
  </si>
  <si>
    <t>Plusieurs façons d'écrire protéines pour la détection du mot = nutrition; protéine/proteine; protéines/proteines; équilibre/equilibre; apport protéique/proteique; plat complet; légumineuse/legumineuse; céréale/cereale; fibres; fer</t>
  </si>
  <si>
    <t xml:space="preserve">Plusieurs façons d'écrire goût/gout; sec/sèche/seche pour la détection des mots </t>
  </si>
  <si>
    <t>.</t>
  </si>
  <si>
    <t>Zone test : coller un texte en C4. Le moteur détecte substitution, alternative, légumineuse, végétal, et déclenche une alerte seitan/gluten. Formules Excel classiques, non matricielles.</t>
  </si>
  <si>
    <t>⓪①②③④⑤⑥⑦⑧⑨⑩⑪⑫⑬⑭⑮⑯⑰⑱⑲⑳  0️⃣ 1️⃣ 2️⃣ 3️⃣ 4️⃣ 5️⃣ 6️⃣ 7️⃣ 8️⃣ 9️⃣ 🔟</t>
  </si>
  <si>
    <t>cliquez sur la colonne  C et sélectionnez dans la barre de formule le numéro ou la lettre qui vous intéresse choisissez la police de caractères et la couleur qui vous conviennent</t>
  </si>
  <si>
    <t xml:space="preserve">⓿❶❷❸❹❺❻❼❽❾❿⓫⓬⓭⓮⓯⓰⓱⓲⓳⓴  </t>
  </si>
  <si>
    <t xml:space="preserve">  ► ◄  ▲ ▼  ➕ ➖ ➗ ✖️  ✅  »   " #  %  &amp;  '@  ≈  ±  ¼  ½  ¾  ! M² m² cm²  M³ m³ cm³ 😊 ChatGPT</t>
  </si>
  <si>
    <t/>
  </si>
  <si>
    <t>OUI</t>
  </si>
  <si>
    <t>Paramètre</t>
  </si>
  <si>
    <t>Valeur</t>
  </si>
  <si>
    <t>Unité / commentaire</t>
  </si>
  <si>
    <t>KPI annuel automatique</t>
  </si>
  <si>
    <t>Lecture terrain</t>
  </si>
  <si>
    <t>Enfants école maternelle</t>
  </si>
  <si>
    <t>convives/jour</t>
  </si>
  <si>
    <t>volume annuel à couvrir</t>
  </si>
  <si>
    <t>Enfants école primaire</t>
  </si>
  <si>
    <t>1 par semaine servie dans cet exemple</t>
  </si>
  <si>
    <t>Adolescents lycées</t>
  </si>
  <si>
    <t>menus végétariens × convives/jour</t>
  </si>
  <si>
    <t>Adultes encadrants</t>
  </si>
  <si>
    <t>indicateur de diversification réelle</t>
  </si>
  <si>
    <t>Total convives/jour</t>
  </si>
  <si>
    <t>somme des 4 publics</t>
  </si>
  <si>
    <t>à limiter / tracer, allergène soja</t>
  </si>
  <si>
    <t>Jours de service par semaine</t>
  </si>
  <si>
    <t>hypothèse fournie</t>
  </si>
  <si>
    <t>à contrôler, allergène gluten</t>
  </si>
  <si>
    <t>Semaines d’ouverture par an</t>
  </si>
  <si>
    <t>écart matière sur les menus végétaux uniquement</t>
  </si>
  <si>
    <t>Jours de service annuels</t>
  </si>
  <si>
    <t>jours/semaine × semaines/an</t>
  </si>
  <si>
    <t>alerte si hausse durable</t>
  </si>
  <si>
    <t>Repas servis annuels</t>
  </si>
  <si>
    <t>total convives/jour × jours/an</t>
  </si>
  <si>
    <t>alerte si baisse durable</t>
  </si>
  <si>
    <t>Menu végétarien cible</t>
  </si>
  <si>
    <t>menu/semaine scolaire</t>
  </si>
  <si>
    <t>Semaines servies</t>
  </si>
  <si>
    <t>Jours service</t>
  </si>
  <si>
    <t>Repas servis</t>
  </si>
  <si>
    <t>Portions menus végétaux</t>
  </si>
  <si>
    <t>Recettes légumineuses</t>
  </si>
  <si>
    <t>Coût végétal €/portion</t>
  </si>
  <si>
    <t>Coût carnée ref €/portion</t>
  </si>
  <si>
    <t>Coût végétal total €</t>
  </si>
  <si>
    <t>Coût ref carnée équiv. €</t>
  </si>
  <si>
    <t>Économie / Surcoût €</t>
  </si>
  <si>
    <t>Gaspillage g/convive</t>
  </si>
  <si>
    <t>Satisfaction %</t>
  </si>
  <si>
    <t>Allergènes à contrôler</t>
  </si>
  <si>
    <t>Commentaire audit</t>
  </si>
  <si>
    <t>aucune alerte majeure</t>
  </si>
  <si>
    <t>Mois conforme : garder variété des familles végétales et suivi coût/gaspillage.</t>
  </si>
  <si>
    <t>Acceptabilité à surveiller : retravailler nom du plat, sauce et texture.</t>
  </si>
  <si>
    <t>gluten / seitan</t>
  </si>
  <si>
    <t>Contrôle allergène gluten obligatoire ; prévoir alternative sans gluten.</t>
  </si>
  <si>
    <t>Gaspillage à surveiller : tester portion, assaisonnement et tenue au chaud.</t>
  </si>
  <si>
    <t>Mois sans service scolaire dans cette hypothèse.</t>
  </si>
  <si>
    <t>TOTAL / MOYENNE</t>
  </si>
  <si>
    <t>Voir mois à risque</t>
  </si>
  <si>
    <t>Synthèse annuelle automatique ci-dessous</t>
  </si>
  <si>
    <t>Exemple d’arbitrage économique</t>
  </si>
  <si>
    <t>Commentaire</t>
  </si>
  <si>
    <t>Sources / repères vérifiables à conserver dans le classeur</t>
  </si>
  <si>
    <t>Volume annuel</t>
  </si>
  <si>
    <t>Plat végétal test</t>
  </si>
  <si>
    <t>Bolognaise de lentilles + pâtes</t>
  </si>
  <si>
    <t>Source végétale économique, facile à accepter si sauce travaillée.</t>
  </si>
  <si>
    <t>Code rural et de la pêche maritime — art. L230-5-4 : plan pluriannuel de diversification des protéines en restauration collective</t>
  </si>
  <si>
    <t>Portions servies</t>
  </si>
  <si>
    <t>1 service complet pour tous les convives</t>
  </si>
  <si>
    <t>ma-cantine / CNRC : cadre général du plan pluriannuel de diversification des sources de protéines</t>
  </si>
  <si>
    <t>Coût matière végétal €/portion</t>
  </si>
  <si>
    <t>légumineuse + garniture + sauce</t>
  </si>
  <si>
    <t>GEM-RCN : repères nutritionnels et fréquence des familles de plats en restauration collective</t>
  </si>
  <si>
    <t>Coût matière carnée référence €/portion</t>
  </si>
  <si>
    <t>référence haché de bœuf / sauce</t>
  </si>
  <si>
    <t>ANSES-Ciqual : données nutritionnelles des aliments et plats</t>
  </si>
  <si>
    <t>Écart €/portion</t>
  </si>
  <si>
    <t>référence carnée - plat végétal</t>
  </si>
  <si>
    <t>PNNS / Manger Bouger : repères légumes secs, équilibre alimentaire et messages grand public</t>
  </si>
  <si>
    <t>Économie matière du service</t>
  </si>
  <si>
    <t>écart × portions</t>
  </si>
  <si>
    <t>Correctif terrain</t>
  </si>
  <si>
    <t>Ne pas conclure uniquement au coût</t>
  </si>
  <si>
    <t>vérifier gaspillage, satisfaction, temps agent, texture, sauce, nom du plat</t>
  </si>
  <si>
    <t>Lecture pour le formateur</t>
  </si>
  <si>
    <t>Ce remplissage est volontairement réaliste mais fictif : il sert d’exemple de saisie, pas de vérité budgétaire universelle.</t>
  </si>
  <si>
    <t>Le bon arbitrage n’est pas “végétal = moins cher”. Il faut lire ensemble coût matière, gaspillage, satisfaction, temps de production, allergènes et qualité nutritionnelle.</t>
  </si>
  <si>
    <t>Les mois avec soja ou seitan doivent déclencher un contrôle allergène. Le seitan implique toujours gluten.</t>
  </si>
  <si>
    <t>Si les lentilles dominent trop, diversifier avec pois chiches, haricots rouges/blancs, pois cassés, fèves, tofu, tempeh, lupin ou graines selon public et recette.</t>
  </si>
  <si>
    <t>saisissez vos valeurs cellules fond jaune</t>
  </si>
  <si>
    <t>les formules se mettront à jour automatiquement</t>
  </si>
  <si>
    <t>repères santé, dénutrition, personnes âgées selon documents disponibles</t>
  </si>
  <si>
    <t>https://www.has-sante.fr/</t>
  </si>
  <si>
    <t>repères alimentaires grand public</t>
  </si>
  <si>
    <t>https://www.mangerbouger.fr/</t>
  </si>
  <si>
    <t>données nutritionnelles Ciqual</t>
  </si>
  <si>
    <t>https://www.anses.fr/fr/content/table-ciqual</t>
  </si>
  <si>
    <t>plan pluriannuel de diversification des protéines</t>
  </si>
  <si>
    <t>restauration collective, EGAlim, diversification protéines</t>
  </si>
  <si>
    <t>https://ma-cantine.agriculture.gouv.fr/</t>
  </si>
  <si>
    <t>Usage dans ce suivi</t>
  </si>
  <si>
    <t>Sources / repères à conserver dans le classeur</t>
  </si>
  <si>
    <t>varier légumineuses, tofu, œufs, poisson</t>
  </si>
  <si>
    <t>objectif 52 tests/an</t>
  </si>
  <si>
    <t>Tests végétaux annuels</t>
  </si>
  <si>
    <t>audit familles gluten/soja/lait/œufs</t>
  </si>
  <si>
    <t>&gt; 12/an = revoir dictionnaire et process</t>
  </si>
  <si>
    <t>Alertes allergènes simulées</t>
  </si>
  <si>
    <t>adapter production et service</t>
  </si>
  <si>
    <t>repas supplémentaires le dimanche midi</t>
  </si>
  <si>
    <t>Surcroît dimanche familles</t>
  </si>
  <si>
    <t>ne pas tester recette risquée sans essai</t>
  </si>
  <si>
    <t>&gt; 25 000 repas/an = enjeu image</t>
  </si>
  <si>
    <t>Dimanche familles</t>
  </si>
  <si>
    <t>contrôler fiches recettes</t>
  </si>
  <si>
    <t>&gt; 25 000 = traçabilité forte</t>
  </si>
  <si>
    <t>Repas allergènes/intolérances estimés</t>
  </si>
  <si>
    <t>tester bouche, sauce, tenue au chaud</t>
  </si>
  <si>
    <t>&gt; 50 000 = priorité texture/nutrition</t>
  </si>
  <si>
    <t>Repas mixés estimés</t>
  </si>
  <si>
    <t>tenir un tableau mensuel</t>
  </si>
  <si>
    <t>&gt; 250 000 = suivi structuré obligatoire</t>
  </si>
  <si>
    <t>Total repas annuels</t>
  </si>
  <si>
    <t>Action prioritaire</t>
  </si>
  <si>
    <t>Décision</t>
  </si>
  <si>
    <t>Seuil / lecture</t>
  </si>
  <si>
    <t>apport protéique/portion</t>
  </si>
  <si>
    <t>grammage et enrichissement</t>
  </si>
  <si>
    <t>nutrition/protéine/apport protéique</t>
  </si>
  <si>
    <t>diversification mal comprise = baisse protéique</t>
  </si>
  <si>
    <t>mensuel</t>
  </si>
  <si>
    <t>Dénutrition</t>
  </si>
  <si>
    <t>% mixés validés</t>
  </si>
  <si>
    <t>test texture + dégustation</t>
  </si>
  <si>
    <t>mots texture, bouche, sauce, tenue au chaud</t>
  </si>
  <si>
    <t>texture trop liquide, sèche ou peu protéinée</t>
  </si>
  <si>
    <t>midi et soir</t>
  </si>
  <si>
    <t>Repas mixés</t>
  </si>
  <si>
    <t>nb recettes avec œufs</t>
  </si>
  <si>
    <t>fiche recette</t>
  </si>
  <si>
    <t>œuf/blanc/jaune =&gt; alerte œufs</t>
  </si>
  <si>
    <t>œuf utilisé comme liant sans signalement</t>
  </si>
  <si>
    <t>avant recette mixée</t>
  </si>
  <si>
    <t>nb adaptations lactose</t>
  </si>
  <si>
    <t>régime résident mis à jour</t>
  </si>
  <si>
    <t>lait = allergène ; lactose = intolérance à préciser</t>
  </si>
  <si>
    <t>confusion allergie lait et intolérance lactose</t>
  </si>
  <si>
    <t>quotidien</t>
  </si>
  <si>
    <t>Lait / lactose</t>
  </si>
  <si>
    <t>nb recettes soja</t>
  </si>
  <si>
    <t>étiquette recette + menu</t>
  </si>
  <si>
    <t>si tofu/soja détecté =&gt; alerte soja</t>
  </si>
  <si>
    <t>allergène soja non signalé</t>
  </si>
  <si>
    <t>avant production</t>
  </si>
  <si>
    <t>Soja / tofu / tempeh</t>
  </si>
  <si>
    <t>nb recettes seitan contrôlées</t>
  </si>
  <si>
    <t>fiche allergène validée</t>
  </si>
  <si>
    <t>si seitan détecté =&gt; alerte gluten</t>
  </si>
  <si>
    <t>plat proposé à tort à un résident sans gluten</t>
  </si>
  <si>
    <t>avant chaque recette</t>
  </si>
  <si>
    <t>Gluten / seitan</t>
  </si>
  <si>
    <t>Preuve attendue</t>
  </si>
  <si>
    <t>Règle moteur</t>
  </si>
  <si>
    <t>Risque</t>
  </si>
  <si>
    <t>Suivi allergènes / intolérances / mixés</t>
  </si>
  <si>
    <t>arbitrage prudent, qualité visible</t>
  </si>
  <si>
    <t>repas image / satisfaction familles</t>
  </si>
  <si>
    <t>ne pas réduire trop fortement le coût matière</t>
  </si>
  <si>
    <t>priorité qualité nutritionnelle, pas économie brute</t>
  </si>
  <si>
    <t>surcoût possible mais sécurité nutritionnelle</t>
  </si>
  <si>
    <t>portion mixée enrichie plutôt que dilution</t>
  </si>
  <si>
    <t>Mixé protéiné</t>
  </si>
  <si>
    <t>usage limité, jamais sans contrôle allergène</t>
  </si>
  <si>
    <t>gluten obligatoire, non universel</t>
  </si>
  <si>
    <t>texture intéressante mais gluten</t>
  </si>
  <si>
    <t>utile si recette testée et allergène signalé</t>
  </si>
  <si>
    <t>soja = allergène à tracer</t>
  </si>
  <si>
    <t>alternative végétale ponctuelle, sauce onctueuse</t>
  </si>
  <si>
    <t>Tofu en sauce</t>
  </si>
  <si>
    <t>acceptable si texture + apport protéique validés</t>
  </si>
  <si>
    <t>ne pas baisser densité protéique</t>
  </si>
  <si>
    <t>remplacer une partie de la protéine animale par légumineuse + enrichissement</t>
  </si>
  <si>
    <t>Potage enrichi pois cassés</t>
  </si>
  <si>
    <t>Décision pédagogique</t>
  </si>
  <si>
    <t>Limite EHPAD</t>
  </si>
  <si>
    <t>Impact estimé €</t>
  </si>
  <si>
    <t>Portions testées/an</t>
  </si>
  <si>
    <t>Coût option €/portion</t>
  </si>
  <si>
    <t>Coût ref €/portion</t>
  </si>
  <si>
    <t>Hypothèse</t>
  </si>
  <si>
    <t>contrôle cohérence annuelle</t>
  </si>
  <si>
    <t>TOTAL</t>
  </si>
  <si>
    <t>bilan annuel et plan suivant</t>
  </si>
  <si>
    <t>5 dimanches : vigilance allergènes</t>
  </si>
  <si>
    <t>audit nutrition / acceptabilité</t>
  </si>
  <si>
    <t>reprise : expliquer les changements</t>
  </si>
  <si>
    <t>5 dimanches : affluence familles</t>
  </si>
  <si>
    <t>surveiller hydratation et textures</t>
  </si>
  <si>
    <t>stabiliser recettes froides / chaudes</t>
  </si>
  <si>
    <t>5 dimanches : renforcer contrôle affichage</t>
  </si>
  <si>
    <t>ajuster coût et menus de printemps</t>
  </si>
  <si>
    <t>mois à 5 dimanches : surveiller familles</t>
  </si>
  <si>
    <t>premier bilan textures mixées</t>
  </si>
  <si>
    <t>démarrage suivi, vérifier base allergènes</t>
  </si>
  <si>
    <t>Alertes allergènes</t>
  </si>
  <si>
    <t>Recettes mixées validées</t>
  </si>
  <si>
    <t>Tests végétaux</t>
  </si>
  <si>
    <t>Intolérances / allergènes</t>
  </si>
  <si>
    <t>Mixés total</t>
  </si>
  <si>
    <t>Mixés soir</t>
  </si>
  <si>
    <t>Mixés midi</t>
  </si>
  <si>
    <t>Total repas</t>
  </si>
  <si>
    <t>Repas soir</t>
  </si>
  <si>
    <t>Repas midi dimanche</t>
  </si>
  <si>
    <t>Repas midi standard</t>
  </si>
  <si>
    <t>Autres jours</t>
  </si>
  <si>
    <t>Dimanches</t>
  </si>
  <si>
    <t>Jours</t>
  </si>
  <si>
    <t>alterner soja avec autres familles végétales</t>
  </si>
  <si>
    <t>tofu en sauce onctueuse, portion maîtrisée</t>
  </si>
  <si>
    <t>soja obligatoire</t>
  </si>
  <si>
    <t>tofu mariné, tempeh, PST, légumineuses hors soja</t>
  </si>
  <si>
    <t>Bonne option mais allergène soja à tracer</t>
  </si>
  <si>
    <t>Soja / tofu</t>
  </si>
  <si>
    <t>ne pas tester une recette risquée sans essai préalable</t>
  </si>
  <si>
    <t>satisfaction dimanche</t>
  </si>
  <si>
    <t>plat principal + alternative lisible</t>
  </si>
  <si>
    <t>allergènes affichés clairement</t>
  </si>
  <si>
    <t>protéines connues, plats lisibles, textures adaptées</t>
  </si>
  <si>
    <t>Repas vitrine : acceptabilité plus forte, attente qualitative</t>
  </si>
  <si>
    <t>ne pas valider une recette uniquement sur le coût</t>
  </si>
  <si>
    <t>velouté enrichi + protéine identifiable</t>
  </si>
  <si>
    <t>contrôle protéines par portion</t>
  </si>
  <si>
    <t>œuf, poisson, viande tendre, légumineuses adaptées, enrichissement</t>
  </si>
  <si>
    <t>Diversifier ne veut pas dire appauvrir le plat</t>
  </si>
  <si>
    <t>Dénutrition / fragilité</t>
  </si>
  <si>
    <t>audit systématique des recettes sensibles</t>
  </si>
  <si>
    <t>nb non-conformités</t>
  </si>
  <si>
    <t>fiche recette allergènes avant mise en production</t>
  </si>
  <si>
    <t>œuf, lait, gluten, soja, fruits à coque, poisson, crustacés</t>
  </si>
  <si>
    <t>protéines alternatives selon allergène exclu</t>
  </si>
  <si>
    <t>EHPAD = public fragile, erreur peut être grave</t>
  </si>
  <si>
    <t>Allergènes majeurs</t>
  </si>
  <si>
    <t>règle moteur : seitan déclenche alerte gluten</t>
  </si>
  <si>
    <t>nb plats seitan contrôlés</t>
  </si>
  <si>
    <t>ne jamais utiliser seitan en plat standard non signalé</t>
  </si>
  <si>
    <t>gluten obligatoire si seitan utilisé</t>
  </si>
  <si>
    <t>tofu, tempeh, légumineuses, œufs, poisson</t>
  </si>
  <si>
    <t>Seitan = gluten, donc interdit sans contrôle allergène</t>
  </si>
  <si>
    <t>séparer intolérance et allergie dans le vocabulaire</t>
  </si>
  <si>
    <t>hachis végétal sans produit laitier</t>
  </si>
  <si>
    <t>ne pas confondre lait, sans lactose, protéines de lait</t>
  </si>
  <si>
    <t>œufs, viandes, poissons, légumineuses, tofu selon profil</t>
  </si>
  <si>
    <t>Risque digestif et rejet si confusion lait / sans lactose</t>
  </si>
  <si>
    <t>Intolérance lactose</t>
  </si>
  <si>
    <t>tester texture, tenue au chaud, goût, densité</t>
  </si>
  <si>
    <t>% repas mixés validés</t>
  </si>
  <si>
    <t>purée pois cassés enrichie + sauce lisse</t>
  </si>
  <si>
    <t>surveiller œufs, lait, poisson, soja selon recette</t>
  </si>
  <si>
    <t>œuf, poisson, volaille, légumineuses mixées, fromage blanc si toléré</t>
  </si>
  <si>
    <t>Risque de dilution, perte de texture, faible densité protéique</t>
  </si>
  <si>
    <t>Contrôle / allergène</t>
  </si>
  <si>
    <t>Sources de protéines adaptées</t>
  </si>
  <si>
    <t>Pourquoi c’est sensible</t>
  </si>
  <si>
    <t>Situation EHPAD</t>
  </si>
  <si>
    <t>volume quotidien standard</t>
  </si>
  <si>
    <t>Total repas hors dimanche midi</t>
  </si>
  <si>
    <t>midi + soir</t>
  </si>
  <si>
    <t>Contrôles allergènes par jour</t>
  </si>
  <si>
    <t>enjeu acceptabilité / image établissement</t>
  </si>
  <si>
    <t>Repas dimanche midi familles</t>
  </si>
  <si>
    <t>1 test/semaine adapté EHPAD</t>
  </si>
  <si>
    <t>Objectif tests protéines végétales</t>
  </si>
  <si>
    <t>mixés + allergènes, hors double-compte</t>
  </si>
  <si>
    <t>Repas sensibles estimés</t>
  </si>
  <si>
    <t>régimes, allergies, intolérances</t>
  </si>
  <si>
    <t>Taux intolérances/allergènes estimé</t>
  </si>
  <si>
    <t>objectif pédagogique et production</t>
  </si>
  <si>
    <t>Tests protéines végétales/an</t>
  </si>
  <si>
    <t>à ajuster selon résidents</t>
  </si>
  <si>
    <t>Taux repas mixés soir estimé</t>
  </si>
  <si>
    <t>contrôle midi + soir</t>
  </si>
  <si>
    <t>Contrôles allergènes minimum</t>
  </si>
  <si>
    <t>Taux repas mixés midi estimé</t>
  </si>
  <si>
    <t>flux nécessitant traçabilité stricte</t>
  </si>
  <si>
    <t>Repas intolérances/allergènes estimés</t>
  </si>
  <si>
    <t>jours hors dimanche</t>
  </si>
  <si>
    <t>Autres jours annuels</t>
  </si>
  <si>
    <t>textures modifiées à sécuriser</t>
  </si>
  <si>
    <t>Repas mixés annuels estimés</t>
  </si>
  <si>
    <t>simulation année type</t>
  </si>
  <si>
    <t>Dimanches annuels</t>
  </si>
  <si>
    <t>écart par rapport à un midi standard</t>
  </si>
  <si>
    <t>Surcroît dimanche midi familles</t>
  </si>
  <si>
    <t>7j/7 toute l’année</t>
  </si>
  <si>
    <t>Jours d’ouverture annuels</t>
  </si>
  <si>
    <t>repas/jour</t>
  </si>
  <si>
    <t>Repas soir tous les jours</t>
  </si>
  <si>
    <t>service du soir tous les jours</t>
  </si>
  <si>
    <t>Repas soir annuels</t>
  </si>
  <si>
    <t>repas/jour le dimanche</t>
  </si>
  <si>
    <t>Repas midi dimanche familles incluses</t>
  </si>
  <si>
    <t>midi standard + dimanche familles</t>
  </si>
  <si>
    <t>Repas midi annuels</t>
  </si>
  <si>
    <t>repas/jour hors dimanche</t>
  </si>
  <si>
    <t>Repas midi lundi-samedi</t>
  </si>
  <si>
    <t>Simulation : ouverture 7j/7, midi + soir, repas mixés, intolérances alimentaires, allergènes et dimanche familles.</t>
  </si>
  <si>
    <t>PROTÉINES / SUIVI EHPAD 365 JOURS</t>
  </si>
  <si>
    <t>ZONE CONSEILS / SIMULATIONS — diversification protéines, gaspillage et satisfaction</t>
  </si>
  <si>
    <t>Lecture automatique à partir des colonnes G:H:I:O:P. Les lignes 17:28 restent mensuelles ; la ligne 29 sert de synthèse annuelle.</t>
  </si>
  <si>
    <t>Conseil légumineuses</t>
  </si>
  <si>
    <t>Simulation si +1 légumineuse</t>
  </si>
  <si>
    <t>Conseil soja</t>
  </si>
  <si>
    <t>Simulation si +1 soja</t>
  </si>
  <si>
    <t>Conseil seitan/gluten</t>
  </si>
  <si>
    <t>Simulation si +1 seitan</t>
  </si>
  <si>
    <t>Lecture gaspillage convive (col O)</t>
  </si>
  <si>
    <t>Actions pour limiter le gaspillage</t>
  </si>
  <si>
    <t>Lecture satisfaction %</t>
  </si>
  <si>
    <t>Méthode pour déterminer satisfaction %</t>
  </si>
  <si>
    <t>Incidence sur résultats</t>
  </si>
  <si>
    <t>Conseil formateur</t>
  </si>
  <si>
    <t>Mini mode d’emploi formateur</t>
  </si>
  <si>
    <t>Pourquoi c’est important</t>
  </si>
  <si>
    <t>Méthode simple</t>
  </si>
  <si>
    <t>Seuil indicatif</t>
  </si>
  <si>
    <t>Décision possible</t>
  </si>
  <si>
    <t>Plus le nombre varie, moins le plan dépend des lentilles.</t>
  </si>
  <si>
    <t>Évite la monotonie : pois chiches, haricots, pois cassés, fèves, lentilles.</t>
  </si>
  <si>
    <t>Compter les recettes réellement servies, pas les intentions.</t>
  </si>
  <si>
    <t>0 = absent ; 1 = faible ; 2-3 = correct</t>
  </si>
  <si>
    <t>Augmenter si menus répétitifs ou trop carnés.</t>
  </si>
  <si>
    <t>Le soja est utile mais allergène.</t>
  </si>
  <si>
    <t>Trop de soja peut fermer l’accès à certains convives et créer du rejet.</t>
  </si>
  <si>
    <t>Compter tofu, tempeh, PST soja, boisson soja si plat concerné.</t>
  </si>
  <si>
    <t>0-1/mois = prudent ; &gt;1 = à justifier</t>
  </si>
  <si>
    <t>Tracer allergène et prévoir variante non soja.</t>
  </si>
  <si>
    <t>Le seitan contient du gluten.</t>
  </si>
  <si>
    <t>Jamais solution universelle : interdit ou risqué pour intolérance/maladie cœliaque.</t>
  </si>
  <si>
    <t>Compter chaque recette avec seitan ou base gluten.</t>
  </si>
  <si>
    <t>0 = neutre ; 1 = ponctuel ; &gt;1 = attention</t>
  </si>
  <si>
    <t>Afficher gluten et prévoir alternative sans gluten.</t>
  </si>
  <si>
    <t>Gaspillage convive colonne O</t>
  </si>
  <si>
    <t>Grammes moyens jetés par convive.</t>
  </si>
  <si>
    <t>Un plat moins cher mais beaucoup jeté peut coûter plus cher réellement.</t>
  </si>
  <si>
    <t>Peser les retours plateaux ou bacs non consommés / nombre de convives.</t>
  </si>
  <si>
    <t>&lt;70 g correct ; 70-74 surveillance ; ≥75 alerte</t>
  </si>
  <si>
    <t>Ajuster grammage, sauce, texture, nom du plat, service et accompagnement.</t>
  </si>
  <si>
    <t>Satisfaction % colonne P</t>
  </si>
  <si>
    <t>Mesure d’acceptabilité réelle.</t>
  </si>
  <si>
    <t>Une satisfaction basse bloque le déploiement même si le coût est favorable.</t>
  </si>
  <si>
    <t>Votes simples : content/pas content ou note 1-5. Positifs / réponses exploitables.</t>
  </si>
  <si>
    <t>≥78 bon ; 75-77 correct ; 72-74 fragile ; &lt;72 alerte</t>
  </si>
  <si>
    <t>Retravailler recette avant généralisation.</t>
  </si>
  <si>
    <t>Incidence sur résultat</t>
  </si>
  <si>
    <t>Croise coût, gaspillage et satisfaction.</t>
  </si>
  <si>
    <t>L’économie matière seule ne suffit pas.</t>
  </si>
  <si>
    <t>Comparer N, O, P et allergènes.</t>
  </si>
  <si>
    <t>Gain + satisfaction + gaspillage bas = feu vert</t>
  </si>
  <si>
    <t>Sinon test limité, correction recette ou report.</t>
  </si>
  <si>
    <t>Conseil pédagogique</t>
  </si>
  <si>
    <t>Ne pas culpabiliser ni opposer les publics.</t>
  </si>
  <si>
    <t>Parler goût, choix, variété, saison, coût maîtrisé et qualité.</t>
  </si>
  <si>
    <t>Faire tester, nommer positivement, recueillir les retours.</t>
  </si>
  <si>
    <t>Refus élevé = donnée d’amélioration, pas échec.</t>
  </si>
  <si>
    <t>Transformer les retours en correction terrain.</t>
  </si>
  <si>
    <t>PROTÉINES VÉGÉTALES  / RESTAURATION SCOLAIRE</t>
  </si>
  <si>
    <t>Auteur : Joel Leboucher • Rochefort sur Mer |  Date : 26 JAvril 2026  |  heure : 12h30 |  Document réalisé avec l'aide de ChatGPT 😊</t>
  </si>
  <si>
    <t>QUESTIONNAIRE DE SATISFACTION ÉLÈVES</t>
  </si>
  <si>
    <t>Échelle</t>
  </si>
  <si>
    <t>N°</t>
  </si>
  <si>
    <t>Type de réponse</t>
  </si>
  <si>
    <t>Réponse élève</t>
  </si>
  <si>
    <t>Pourquoi cette question est utile ?</t>
  </si>
  <si>
    <t>Exploitation</t>
  </si>
  <si>
    <t>Oui / Non</t>
  </si>
  <si>
    <t>Participation</t>
  </si>
  <si>
    <t>Note 1 à 5</t>
  </si>
  <si>
    <t>Goût</t>
  </si>
  <si>
    <t>Le plat était-il assez rassasiant ?</t>
  </si>
  <si>
    <t>Rassasiement</t>
  </si>
  <si>
    <t>Un plat mal identifié est souvent moins accepté.</t>
  </si>
  <si>
    <t>Lisibilité</t>
  </si>
  <si>
    <t>Gaspillage</t>
  </si>
  <si>
    <t>Texte libre</t>
  </si>
  <si>
    <t>Cause gaspillage</t>
  </si>
  <si>
    <t>Serais-tu d’accord pour revoir ce plat au menu ?</t>
  </si>
  <si>
    <t>Oui / Non / Peut-être</t>
  </si>
  <si>
    <t>Reconduction</t>
  </si>
  <si>
    <t>Le nom du plat donnait-il envie de goûter ?</t>
  </si>
  <si>
    <t>Le vocabulaire influence fortement l’acceptation.</t>
  </si>
  <si>
    <t>Le plat était-il bien accompagné : sauce, garniture, pain, crudités ?</t>
  </si>
  <si>
    <t>Un plat végétal sec ou isolé est plus souvent rejeté.</t>
  </si>
  <si>
    <t>Construction assiette</t>
  </si>
  <si>
    <t>Quelle protéine as-tu reconnue ?</t>
  </si>
  <si>
    <t>Source protéique</t>
  </si>
  <si>
    <t>Oui / Non / Un peu</t>
  </si>
  <si>
    <t>Nouveauté</t>
  </si>
  <si>
    <t>Que faudrait-il améliorer ?</t>
  </si>
  <si>
    <t>Amélioration</t>
  </si>
  <si>
    <t>Quel est ton niveau ?</t>
  </si>
  <si>
    <t>Public</t>
  </si>
  <si>
    <t>Moyenne goût</t>
  </si>
  <si>
    <t>Moyenne bouche / texture</t>
  </si>
  <si>
    <t>Moyenne rassasiement</t>
  </si>
  <si>
    <t>Moyenne lisibilité du plat</t>
  </si>
  <si>
    <t>Satisfaction globale</t>
  </si>
  <si>
    <t>Avis favorables</t>
  </si>
  <si>
    <t>Avis peut-être</t>
  </si>
  <si>
    <t>Avis défavorables</t>
  </si>
  <si>
    <t>Taux favorable %</t>
  </si>
  <si>
    <t>Gaspillage déclaré</t>
  </si>
  <si>
    <t>Nombre d’élèves déclarant avoir laissé une part importante.</t>
  </si>
  <si>
    <t>Taux gaspillage %</t>
  </si>
  <si>
    <t>Alerte bouche</t>
  </si>
  <si>
    <t>Alerte satisfaction</t>
  </si>
  <si>
    <t>Décision proposée</t>
  </si>
  <si>
    <t>ID élève</t>
  </si>
  <si>
    <t>Date</t>
  </si>
  <si>
    <t>Goût 1-5</t>
  </si>
  <si>
    <t>Rassasiement 1-5</t>
  </si>
  <si>
    <t>Lisibilité 1-5</t>
  </si>
  <si>
    <t>Gaspillage Oui/Non</t>
  </si>
  <si>
    <t>Revoir Oui/Non/Peut-être</t>
  </si>
  <si>
    <t>Protéine reconnue</t>
  </si>
  <si>
    <t>Amélioration proposée</t>
  </si>
  <si>
    <t>Commentaire libre</t>
  </si>
  <si>
    <t>Primaire</t>
  </si>
  <si>
    <t>Non</t>
  </si>
  <si>
    <t>Oui</t>
  </si>
  <si>
    <t>Plus de sauce</t>
  </si>
  <si>
    <t>Plat bon mais un peu sec</t>
  </si>
  <si>
    <t>Lycée</t>
  </si>
  <si>
    <t>Peut-être</t>
  </si>
  <si>
    <t>Texture farineuse</t>
  </si>
  <si>
    <t>Changer la cuisson</t>
  </si>
  <si>
    <t>Nom du plat peu clair</t>
  </si>
  <si>
    <t>Maternelle</t>
  </si>
  <si>
    <t>Mettre moins d’épices</t>
  </si>
  <si>
    <t>Accepté avec aide adulte</t>
  </si>
  <si>
    <t>Je n’ai pas aimé</t>
  </si>
  <si>
    <t>Plus de goût</t>
  </si>
  <si>
    <t>Plat rejeté</t>
  </si>
  <si>
    <t>À refaire</t>
  </si>
  <si>
    <t>Bonne recette</t>
  </si>
  <si>
    <t>MODE D’EMPLOI RAPIDE</t>
  </si>
  <si>
    <t>Point</t>
  </si>
  <si>
    <t>Goût faible</t>
  </si>
  <si>
    <t>Gaspillage élevé</t>
  </si>
  <si>
    <t>Goût &lt; 3 : recette à revoir | Texture &lt; 3 : cuisson/sauce/tenue au chaud | Gaspillage déclaré &gt; 25 % : prudence | Avis favorables élevés : reconduction possible.</t>
  </si>
  <si>
    <t>Repères terrain</t>
  </si>
  <si>
    <t>Croiser ce questionnaire avec le gaspillage réel du suivi scolaire : une bonne note avec beaucoup de reste ou une mauvaise note sans reste ne se lit pas de la même manière.</t>
  </si>
  <si>
    <t>À ne pas oublier</t>
  </si>
  <si>
    <t>Un avis négatif n’est pas un échec : il indique quoi corriger. Plusieurs avis négatifs sur la texture ou le nom du plat doivent déclencher une correction avant généralisation.</t>
  </si>
  <si>
    <t>Lecture rapide</t>
  </si>
  <si>
    <t>Nous testons plusieurs recettes pour varier les sources de protéines. Le but n’est pas de forcer quelqu’un, mais de voir ce qui fonctionne vraiment : goût, texture, présentation, gaspillage et satisfaction.</t>
  </si>
  <si>
    <t>Texte court à lire aux élèves</t>
  </si>
  <si>
    <t>Texte libre ►</t>
  </si>
  <si>
    <t>Récupérer les signaux non prévus.</t>
  </si>
  <si>
    <t>Texte libre ▼</t>
  </si>
  <si>
    <t>Remarque libre ▼</t>
  </si>
  <si>
    <t>Permettre une lecture par âge et public.</t>
  </si>
  <si>
    <t>Maternelle / Primaire / Collège / Lycée / Autre</t>
  </si>
  <si>
    <t>Récupérer des pistes concrètes cuisine et service.</t>
  </si>
  <si>
    <t>Mesurer l’effet de l’explication sans culpabilisation.</t>
  </si>
  <si>
    <t>Le plat a-t-il été présenté clairement avant le service ?</t>
  </si>
  <si>
    <t>Évaluer l’effet nouveauté.</t>
  </si>
  <si>
    <t>Le plat était-il très différent des repas habituels ?</t>
  </si>
  <si>
    <t>Voir si la source protéique est lisible pour l’élève.</t>
  </si>
  <si>
    <t>Choix ou texte</t>
  </si>
  <si>
    <t>Vérifier la compréhension : lentilles, pois chiches, haricots, tofu, œufs, etc.</t>
  </si>
  <si>
    <t>As-tu compris quelle protéine était utilisée ?</t>
  </si>
  <si>
    <t>Savoir si la recette peut être reconduite ou testée à nouveau.</t>
  </si>
  <si>
    <t>Cause</t>
  </si>
  <si>
    <t>Identifier les causes : goût, texture, quantité, peur de goûter, nom du plat.</t>
  </si>
  <si>
    <t>Si tu as laissé du plat, pourquoi ?</t>
  </si>
  <si>
    <t>Repérer le gaspillage convive déclaré.</t>
  </si>
  <si>
    <t>As-tu laissé une partie importante du plat ?</t>
  </si>
  <si>
    <t>Comprenais-tu bien ce qu’il y avait dans l’assiette ?</t>
  </si>
  <si>
    <t>Vérifier si l’élève sort du repas avec une vraie satiété.</t>
  </si>
  <si>
    <t>Repérer sec, farineux, mou, croquant, pâteux, trop dur.</t>
  </si>
  <si>
    <t>La texture était-elle agréable en bouche ?</t>
  </si>
  <si>
    <t>Mesurer l’acceptation gustative réelle.</t>
  </si>
  <si>
    <t>Est-ce que le goût t’a plu ?</t>
  </si>
  <si>
    <t>Distinguer le refus avant dégustation du rejet après dégustation.</t>
  </si>
  <si>
    <t>As-tu goûté au moins une bouchée du plat proposé aujourd’hui ?</t>
  </si>
  <si>
    <t>Question posée à l’élève</t>
  </si>
  <si>
    <t>Ne pas culpabiliser l’élève qui n’a pas aimé.</t>
  </si>
  <si>
    <t>Important</t>
  </si>
  <si>
    <t>Pour les plus jeunes : lecture orale possible, aide adulte autorisée, sans influencer la réponse.</t>
  </si>
  <si>
    <t>Consigne adulte</t>
  </si>
  <si>
    <t>1 = pas du tout / 5 = très satisfait</t>
  </si>
  <si>
    <t>Réponds simplement. Il n’y a pas de bonne ou mauvaise réponse. Ton avis sert à améliorer les repas.</t>
  </si>
  <si>
    <t>Consigne élève</t>
  </si>
  <si>
    <t>3 à 5 minutes</t>
  </si>
  <si>
    <t>Durée</t>
  </si>
  <si>
    <t>Élèves volontaires — questionnaire anonyme</t>
  </si>
  <si>
    <t>À qui ?</t>
  </si>
  <si>
    <t>Repas végétariens, légumineuses, soja, seitan/gluten et recettes nouvelles</t>
  </si>
  <si>
    <t>EXPLOITATION PROFESSIONNELLE DES RÉPONSES ÉLÈVES</t>
  </si>
  <si>
    <t>Lecture terrain : satisfaction, gaspillage, acceptation et actions correctives</t>
  </si>
  <si>
    <t>Transformer des questionnaires volontaires en indicateurs simples, défendables et utilisables pour décider : garder, corriger, retester ou abandonner une recette.</t>
  </si>
  <si>
    <t>Règle de lecture</t>
  </si>
  <si>
    <t>Ne jamais décider uniquement au coût. Croiser goût, texture, rassasiement, lisibilité, gaspillage et commentaires libres.</t>
  </si>
  <si>
    <t>Commentaire opérationnel</t>
  </si>
  <si>
    <t>Seuil utile</t>
  </si>
  <si>
    <t>Avis</t>
  </si>
  <si>
    <t>Nombre</t>
  </si>
  <si>
    <t>Nombre de réponses exploitables</t>
  </si>
  <si>
    <t>Minimum conseillé : 30</t>
  </si>
  <si>
    <t>Nombre de questionnaires avec une note goût saisie.</t>
  </si>
  <si>
    <t>≥ 3,5</t>
  </si>
  <si>
    <t>&lt; 3 = recette à retravailler</t>
  </si>
  <si>
    <t>Goût faible : revoir assaisonnement, sauce, cuisson, nom du plat.</t>
  </si>
  <si>
    <t>&lt; 3 = alerte texture</t>
  </si>
  <si>
    <t>Texture faible : vérifier sec, farineux, pâteux, tenue au chaud.</t>
  </si>
  <si>
    <t>&lt; 3 = portion/garniture à revoir</t>
  </si>
  <si>
    <t>Rassasiement faible : renforcer accompagnement ou source protéique.</t>
  </si>
  <si>
    <t>&lt; 3 = communication à revoir</t>
  </si>
  <si>
    <t>Plat mal compris = rejet probable même si la recette est correcte.</t>
  </si>
  <si>
    <t>Satisfaction</t>
  </si>
  <si>
    <t>≥ 75 %</t>
  </si>
  <si>
    <t>Moyenne simple des 4 critères</t>
  </si>
  <si>
    <t>Donne la lecture globale sans masquer le détail.</t>
  </si>
  <si>
    <t>Favorable</t>
  </si>
  <si>
    <t>≥ 60 %</t>
  </si>
  <si>
    <t>Taux gaspillage</t>
  </si>
  <si>
    <t>≥ 75 % = bon signal</t>
  </si>
  <si>
    <t>Convertit la note /5 en pourcentage lisible.</t>
  </si>
  <si>
    <t>Voir B21</t>
  </si>
  <si>
    <t>Élèves prêts à revoir le plat au menu.</t>
  </si>
  <si>
    <t>Potentiel à récupérer si goût/texture corrigés.</t>
  </si>
  <si>
    <t>Signal de rejet à ne pas compenser par le coût.</t>
  </si>
  <si>
    <t>≥ 60 % = reconduction possible</t>
  </si>
  <si>
    <t>Part des avis favorables parmi Oui / Non / Peut-être.</t>
  </si>
  <si>
    <t>≤ 20 % = maîtrisé</t>
  </si>
  <si>
    <t>À croiser avec le gaspillage réel du suivi scolaire.</t>
  </si>
  <si>
    <t>Automatique</t>
  </si>
  <si>
    <t>Diagnostic sur texture et ressenti en bouche.</t>
  </si>
  <si>
    <t>Diagnostic de satisfaction générale.</t>
  </si>
  <si>
    <t>Décision synthétique pour arbitrage cuisine / service / pédagogie.</t>
  </si>
  <si>
    <t>liste déroulante ▼</t>
  </si>
  <si>
    <t>Texture 1-5</t>
  </si>
  <si>
    <t>Collège</t>
  </si>
  <si>
    <t>Autre</t>
  </si>
  <si>
    <t>Ce bloc sert à lire les résultats et à décider d’une action réaliste.</t>
  </si>
  <si>
    <t>Lecture professionnelle</t>
  </si>
  <si>
    <t>Action conseillée</t>
  </si>
  <si>
    <t>Moyenne goût &lt; 3 : rejet gustatif net.</t>
  </si>
  <si>
    <t>Retravailler assaisonnement, cuisson, sauce ou nom du plat avant reconduction.</t>
  </si>
  <si>
    <t>Texture faible</t>
  </si>
  <si>
    <t>Texture &lt; 3 : problème de bouche, souvent très pénalisant sur légumineuses, soja ou seitan/gluten.</t>
  </si>
  <si>
    <t>Tester moelleux, humidité, coupe, cuisson, maintien au chaud, liaison ou accompagnement.</t>
  </si>
  <si>
    <t>Taux déclaré &gt; 25 % : le plat peut dégrader le plan protéines même si le coût matière semble intéressant.</t>
  </si>
  <si>
    <t>Croiser avec le gaspillage réel du suivi scolaire, les quantités servies et les retours de service.</t>
  </si>
  <si>
    <t>Elle transforme une note sur 5 en pourcentage : 3/5 = 60 %, 4/5 = 80 %.</t>
  </si>
  <si>
    <t>Utiliser comme repère de communication, jamais comme seule preuve.</t>
  </si>
  <si>
    <t>La décision automatique est volontairement prudente.</t>
  </si>
  <si>
    <t>Une recette économique mais rejetée augmente le gaspillage et fragilise l’acceptation du plan alimentaire.</t>
  </si>
  <si>
    <t>QUESTIONNAIRE SATISFACTION RÉSIDENTS / FAMILLES — EHPAD</t>
  </si>
  <si>
    <t>Repas du midi et du soir — 7 jours sur 7 — suivi des goûts, textures, allergènes et non-goûts</t>
  </si>
  <si>
    <t>Zone à remplir pour chaque repas observé</t>
  </si>
  <si>
    <t>Question EHPAD</t>
  </si>
  <si>
    <t>Votre réponse</t>
  </si>
  <si>
    <t>Exploitation terrain</t>
  </si>
  <si>
    <t>Date du repas observé</t>
  </si>
  <si>
    <t>Rattacher l’avis au planning réel.</t>
  </si>
  <si>
    <t>Service concerné</t>
  </si>
  <si>
    <t>Midi / Soir</t>
  </si>
  <si>
    <t>Comparer l’acceptation entre déjeuner et dîner.</t>
  </si>
  <si>
    <t>Jour de la semaine</t>
  </si>
  <si>
    <t>Lundi à dimanche</t>
  </si>
  <si>
    <t>Repérer les écarts semaine / week-end / dimanche familles.</t>
  </si>
  <si>
    <t>7 jours / 7</t>
  </si>
  <si>
    <t>Qui répond ?</t>
  </si>
  <si>
    <t>Résident / Famille / Aidant / Agent</t>
  </si>
  <si>
    <t>Identifier si l’avis vient du convive ou d’un accompagnant.</t>
  </si>
  <si>
    <t>Profil répondant</t>
  </si>
  <si>
    <t>Texture ou régime servi aujourd’hui</t>
  </si>
  <si>
    <t>Normal / Haché / Mixé / Manger-main / Diabétique / Sans sel / Enrichi / Autre</t>
  </si>
  <si>
    <t>Les textures modifiées ne doivent pas être lues comme un repas standard.</t>
  </si>
  <si>
    <t>Régime / texture</t>
  </si>
  <si>
    <t>Le résident a-t-il des allergènes ou intolérances connus ?</t>
  </si>
  <si>
    <t>Oui / Non / À vérifier</t>
  </si>
  <si>
    <t>Sécuriser les repas avant toute lecture de satisfaction.</t>
  </si>
  <si>
    <t>Sécurité allergènes</t>
  </si>
  <si>
    <t>Quels allergènes ou intolérances doivent être évités ?</t>
  </si>
  <si>
    <t>Exemples : œuf, lait, gluten, poisson, crustacés, arachide, fruits à coque.</t>
  </si>
  <si>
    <t>Détail allergènes</t>
  </si>
  <si>
    <t>Les allergènes / intolérances ont-ils été clairement pris en compte aujourd’hui ?</t>
  </si>
  <si>
    <t>Oui / Non / Non concerné / À vérifier</t>
  </si>
  <si>
    <t>Une satisfaction correcte ne compense jamais un doute allergène.</t>
  </si>
  <si>
    <t>Contrôle sécurité</t>
  </si>
  <si>
    <t>Quels aliments font partie des non-goûts ou refus habituels du résident ?</t>
  </si>
  <si>
    <t>Différencier un vrai rejet personnel d’une recette mal exécutée.</t>
  </si>
  <si>
    <t>Profil alimentaire</t>
  </si>
  <si>
    <t>Les non-goûts ont-ils été respectés aujourd’hui ?</t>
  </si>
  <si>
    <t>Oui / Non / Partiellement / Non concerné</t>
  </si>
  <si>
    <t>Limiter le refus de repas évitable.</t>
  </si>
  <si>
    <t>Respect préférences</t>
  </si>
  <si>
    <t>Le plat principal a-t-il été apprécié ?</t>
  </si>
  <si>
    <t>Mesurer l’acceptation réelle du cœur du repas.</t>
  </si>
  <si>
    <t>L’accompagnement était-il apprécié ?</t>
  </si>
  <si>
    <t>Un accompagnement faible peut faire rejeter toute l’assiette.</t>
  </si>
  <si>
    <t>La texture était-elle adaptée à la capacité du résident ?</t>
  </si>
  <si>
    <t>Point critique pour mixé, haché, manger-main, déglutition et confort.</t>
  </si>
  <si>
    <t>La température au moment du service était-elle correcte ?</t>
  </si>
  <si>
    <t>Les repas du soir et les textures mixées chutent vite en température.</t>
  </si>
  <si>
    <t>Température</t>
  </si>
  <si>
    <t>La quantité servie était-elle adaptée ?</t>
  </si>
  <si>
    <t>Trop peu = frustration ; trop = gaspillage et découragement.</t>
  </si>
  <si>
    <t>Quantité</t>
  </si>
  <si>
    <t>La présentation de l’assiette donnait-elle envie ?</t>
  </si>
  <si>
    <t>Très important en EHPAD, encore plus pour les textures modifiées.</t>
  </si>
  <si>
    <t>Présentation</t>
  </si>
  <si>
    <t>L’appétit du résident semblait-il correct ?</t>
  </si>
  <si>
    <t>Faible / Moyen / Bon</t>
  </si>
  <si>
    <t>Aide à ne pas attribuer à la recette un problème d’appétit ponctuel.</t>
  </si>
  <si>
    <t>Appétit</t>
  </si>
  <si>
    <t>Le résident a-t-il laissé une part importante ?</t>
  </si>
  <si>
    <t>Repérer le gaspillage convive et les causes évitables.</t>
  </si>
  <si>
    <t>Restes</t>
  </si>
  <si>
    <t>Si oui, quelle cause principale ?</t>
  </si>
  <si>
    <t>Exemples : goût, texture, température, fatigue, douleur, quantité, non-goût.</t>
  </si>
  <si>
    <t>Cause des restes</t>
  </si>
  <si>
    <t>L’aide au repas était-elle suffisante ?</t>
  </si>
  <si>
    <t>Le problème peut venir de l’accompagnement, pas de la cuisine.</t>
  </si>
  <si>
    <t>Aide au repas</t>
  </si>
  <si>
    <t>Sur la semaine, les repas midi/soir sont-ils assez variés ?</t>
  </si>
  <si>
    <t>Le 7 jours/7 impose une vigilance sur répétitions et lassitude.</t>
  </si>
  <si>
    <t>Variation menus</t>
  </si>
  <si>
    <t>Le repas du dimanche ou avec les familles est-il adapté ?</t>
  </si>
  <si>
    <t>Oui / Non / À améliorer / Non concerné</t>
  </si>
  <si>
    <t>Les repas familiaux changent le volume, le rythme et les attentes.</t>
  </si>
  <si>
    <t>Souhaitez-vous revoir ce plat au menu ?</t>
  </si>
  <si>
    <t>Aide à décider : reconduire, corriger, retester ou retirer.</t>
  </si>
  <si>
    <t>Décision menu</t>
  </si>
  <si>
    <t>Remarque libre du résident, de la famille ou de l’équipe</t>
  </si>
  <si>
    <t>Recueillir les signaux non prévus par le questionnaire.</t>
  </si>
  <si>
    <t>Texte court à lire avant le questionnaire</t>
  </si>
  <si>
    <t>Ce questionnaire sert à améliorer les repas du midi et du soir. Il ne sert pas à juger le résident. Les allergies, intolérances et aliments refusés doivent être signalés clairement pour éviter les erreurs et limiter les repas non consommés.</t>
  </si>
  <si>
    <t>Repères de lecture</t>
  </si>
  <si>
    <t>Goût ou texture &lt; 3 : recette ou tenue au chaud à revoir | Allergène = priorité sécurité | Non-goût non respecté = refus évitable | Restes répétés = action cuisine/service à programmer.</t>
  </si>
  <si>
    <t>Point de vigilance EHPAD</t>
  </si>
  <si>
    <t>Ne jamais confondre non-goût, allergène, texture médicalement adaptée et refus ponctuel lié à fatigue ou douleur. Ces quatre causes se traitent différemment.</t>
  </si>
  <si>
    <t>EXPLOITATION PROFESSIONNELLE — SATISFACTION REPAS EHPAD</t>
  </si>
  <si>
    <t>Repas midi et soir — 7 jours sur 7 — suivi sécurité allergènes, non-goûts, textures, restes et satisfaction.</t>
  </si>
  <si>
    <t>Lecture attendue : croiser satisfaction, texture, température, respect des allergènes/non-goûts et restes avant toute décision menu.</t>
  </si>
  <si>
    <t>Action terrain recommandée</t>
  </si>
  <si>
    <t>Nb réponses</t>
  </si>
  <si>
    <t>Goût moyen</t>
  </si>
  <si>
    <t>Texture moyenne</t>
  </si>
  <si>
    <t>Restes %</t>
  </si>
  <si>
    <t>Jour</t>
  </si>
  <si>
    <t>Midi</t>
  </si>
  <si>
    <t>Soir</t>
  </si>
  <si>
    <t>Total</t>
  </si>
  <si>
    <t>Priorités automatiques</t>
  </si>
  <si>
    <t>Nombre de lignes avec une note goût saisie.</t>
  </si>
  <si>
    <t>Lundi</t>
  </si>
  <si>
    <t>Allergènes / intolérances</t>
  </si>
  <si>
    <t>Réponses midi</t>
  </si>
  <si>
    <t>Suivi déjeuner</t>
  </si>
  <si>
    <t>Contrôler l’équilibre semaine et week-end.</t>
  </si>
  <si>
    <t>Mardi</t>
  </si>
  <si>
    <t>Non-goûts</t>
  </si>
  <si>
    <t>Réponses soir</t>
  </si>
  <si>
    <t>Suivi dîner</t>
  </si>
  <si>
    <t>Le soir : vigilance température, fatigue, quantités.</t>
  </si>
  <si>
    <t>Mercredi</t>
  </si>
  <si>
    <t>Textures modifiées</t>
  </si>
  <si>
    <t>Assaisonnement, sauce, cuisson, lisibilité du plat.</t>
  </si>
  <si>
    <t>Jeudi</t>
  </si>
  <si>
    <t>Restes importants</t>
  </si>
  <si>
    <t>Moyenne texture</t>
  </si>
  <si>
    <t>Contrôler mixé/haché, humidité, granulométrie, liaison.</t>
  </si>
  <si>
    <t>Vendredi</t>
  </si>
  <si>
    <t>Moyenne température</t>
  </si>
  <si>
    <t>&lt; 3 = problème service/liaison</t>
  </si>
  <si>
    <t>Contrôler horaires, chariots, assiettes, couvercles, attente.</t>
  </si>
  <si>
    <t>Samedi</t>
  </si>
  <si>
    <t>Moyenne quantité</t>
  </si>
  <si>
    <t>&lt; 3 = portion à revoir</t>
  </si>
  <si>
    <t>Adapter volume selon appétit, texture, enrichissement.</t>
  </si>
  <si>
    <t>Dimanche</t>
  </si>
  <si>
    <t>Moyenne présentation</t>
  </si>
  <si>
    <t>&lt; 3 = assiette peu attractive</t>
  </si>
  <si>
    <t>Travailler contraste, dressage, couleurs, formes mixées.</t>
  </si>
  <si>
    <t>Satisfaction globale /5</t>
  </si>
  <si>
    <t>Moyenne goût + texture + température + quantité + présentation</t>
  </si>
  <si>
    <t>Ne masque pas les alertes allergènes.</t>
  </si>
  <si>
    <t>Lisible pour réunion cuisine / direction / CVS.</t>
  </si>
  <si>
    <t>Allergènes ou intolérances signalés</t>
  </si>
  <si>
    <t>Priorité sécurité</t>
  </si>
  <si>
    <t>Vérifier fiches techniques, transmissions et plan de table.</t>
  </si>
  <si>
    <t>Non-goûts renseignés</t>
  </si>
  <si>
    <t>Préférences résidents</t>
  </si>
  <si>
    <t>À intégrer dans le profil alimentaire individuel.</t>
  </si>
  <si>
    <t>Textures modifiées suivies</t>
  </si>
  <si>
    <t>Mixé/haché/manger-main</t>
  </si>
  <si>
    <t>Contrôler qualité sensorielle spécifique, pas seulement sécurité.</t>
  </si>
  <si>
    <t>Taux de restes importants</t>
  </si>
  <si>
    <t>≤ 20 % souhaitable</t>
  </si>
  <si>
    <t>Au-delà : corriger recette, portion, service ou accompagnement.</t>
  </si>
  <si>
    <t>Arbitrage opérationnel à valider par cuisine / soins / direction.</t>
  </si>
  <si>
    <t>Répondant</t>
  </si>
  <si>
    <t>Texture / régime</t>
  </si>
  <si>
    <t>Allergènes connus</t>
  </si>
  <si>
    <t>Non-goûts / aliments refusés</t>
  </si>
  <si>
    <t>Présentation 1-5</t>
  </si>
  <si>
    <t>Température 1-5</t>
  </si>
  <si>
    <t>Quantité 1-5</t>
  </si>
  <si>
    <t>Variation 1-5</t>
  </si>
  <si>
    <t>Reste important</t>
  </si>
  <si>
    <t>Cause du reste</t>
  </si>
  <si>
    <t>Revoir au menu</t>
  </si>
  <si>
    <t>Action cuisine/service</t>
  </si>
  <si>
    <t>Résident</t>
  </si>
  <si>
    <t>Normal</t>
  </si>
  <si>
    <t>endives</t>
  </si>
  <si>
    <t>Autonome</t>
  </si>
  <si>
    <t>Bon</t>
  </si>
  <si>
    <t>Repas apprécié.</t>
  </si>
  <si>
    <t>Maintenir la recette.</t>
  </si>
  <si>
    <t>Normale</t>
  </si>
  <si>
    <t>Mixé</t>
  </si>
  <si>
    <t>À vérifier</t>
  </si>
  <si>
    <t>lait</t>
  </si>
  <si>
    <t>poisson</t>
  </si>
  <si>
    <t>Aide partielle</t>
  </si>
  <si>
    <t>Moyen</t>
  </si>
  <si>
    <t>Texture trop épaisse</t>
  </si>
  <si>
    <t>Plat peu lisible en mixé.</t>
  </si>
  <si>
    <t>Revoir texture et liaison.</t>
  </si>
  <si>
    <t>Haute</t>
  </si>
  <si>
    <t>Haché</t>
  </si>
  <si>
    <t>œuf</t>
  </si>
  <si>
    <t>abats</t>
  </si>
  <si>
    <t>Allergène bien signalé.</t>
  </si>
  <si>
    <t>Sécuriser transmission allergène.</t>
  </si>
  <si>
    <t>Sans sel</t>
  </si>
  <si>
    <t>chou</t>
  </si>
  <si>
    <t>Faible</t>
  </si>
  <si>
    <t>Repas trop froid</t>
  </si>
  <si>
    <t>Fatigue le soir.</t>
  </si>
  <si>
    <t>Contrôler température service soir.</t>
  </si>
  <si>
    <t>Agent</t>
  </si>
  <si>
    <t>Manger-main</t>
  </si>
  <si>
    <t>Aide totale</t>
  </si>
  <si>
    <t>Format bien accepté.</t>
  </si>
  <si>
    <t>À reconduire.</t>
  </si>
  <si>
    <t>Diabétique</t>
  </si>
  <si>
    <t>fruits à coque</t>
  </si>
  <si>
    <t>ail</t>
  </si>
  <si>
    <t>Goût correct mais manque de sauce.</t>
  </si>
  <si>
    <t>Adapter sauce compatible régime.</t>
  </si>
  <si>
    <t>Enrichi</t>
  </si>
  <si>
    <t>fromage fort</t>
  </si>
  <si>
    <t>Quantité trop grande</t>
  </si>
  <si>
    <t>Résident vite rassasié.</t>
  </si>
  <si>
    <t>Réduire portion ou fractionner.</t>
  </si>
  <si>
    <t>Repas du dimanche apprécié par la famille.</t>
  </si>
  <si>
    <t>Maintenir repas familial.</t>
  </si>
  <si>
    <t>Texte à auditer ►</t>
  </si>
  <si>
    <t>Texte normalisé par le moteur ►</t>
  </si>
  <si>
    <t>MOTEUR 2021 — AUDIT PLAN PROTÉINES / RESTAURATION COLLECTIVE  Ce moteur est un détecteur de thématiques, pas un correcteur de réponses ouvertes.</t>
  </si>
  <si>
    <t>CFA</t>
  </si>
  <si>
    <t>Situation test : chili végétal aux haricots rouges servi le midi ; coût portion stable, satisfaction convives faible, gaspillage élevé, texture sèche et sauce insuffisante.</t>
  </si>
  <si>
    <t>Le menu propose haricots rouges le lundi, pois chiches le mercredi et lentilles le vendredi pour varier les protéines végétales.</t>
  </si>
  <si>
    <t>Un repas végétal équilibré contient une source de protéine, des légumes, une céréale et assez de sauce.</t>
  </si>
  <si>
    <t>Pour limiter le gaspillage, on améliore le goût, l’assaisonnement, la sauce et la communication au self.</t>
  </si>
  <si>
    <t>Les convives refusent un plat sec, farineux et sans sauce, même si le prix matière est intéressant.</t>
  </si>
  <si>
    <t>La bolognaise aux lentilles a un bon prix mais le temps de préparation est long et le goût doit être renforcé.</t>
  </si>
  <si>
    <t>Le soja et le lupin doivent être indiqués clairement si la recette en contient.</t>
  </si>
  <si>
    <t>Le quinoa et le sarrasin sont testés avec des légumes et une sauce, mais le coût portion doit rester acceptable.</t>
  </si>
  <si>
    <t>La féverole locale coûte plus cher mais permet une recette végétale différente avec une sauce travaillée.</t>
  </si>
  <si>
    <t>Une annonce positive du plat aux lentilles aide l’acceptabilité et peut améliorer la satisfaction convives.</t>
  </si>
  <si>
    <t>Après 45 minutes au chaud, la sauce diminue, le moelleux baisse et la texture devient sèche.</t>
  </si>
  <si>
    <t>Le plat complet associe légumineuse, céréale, légumes, fibres, fer et source de protéine.</t>
  </si>
  <si>
    <t>Les sources végétales citées sont lentilles, pois chiches, haricots, tofu, tempeh, lupin et seitan.</t>
  </si>
  <si>
    <t>Le plat végétal est présenté sans culpabiliser les convives et sans opposer viande et végétal.</t>
  </si>
  <si>
    <t>La recette aux lentilles est meilleure avec plus de sauce, un assaisonnement plus net et une texture moins sèche.</t>
  </si>
  <si>
    <t>Les élèves comparent prix d’achat, coût portion et gaspillage après un plat aux pois chiches.</t>
  </si>
  <si>
    <t>Le plat végétal contient lentilles, céréale, légumes et sauce ; il faut vérifier l’équilibre du repas.</t>
  </si>
  <si>
    <t>Avant le service, le seitan est contrôlé car il contient du gluten et une alternative doit être prévue.</t>
  </si>
  <si>
    <t>Le tofu est servi sans sauce : les convives disent que le goût est trop neutre et la satisfaction est faible.</t>
  </si>
  <si>
    <t>Le dhal de pois cassés plaît peu car il est farineux, manque d’assaisonnement et reste trop longtemps en tenue au chaud.</t>
  </si>
  <si>
    <t>Au self, le chili aux haricots est peu mangé : goût faible, sauce courte, texture sèche et beaucoup de gaspillage dans les assiettes.</t>
  </si>
  <si>
    <t>Diagnostic global : diversification correcte, coût maîtrisé, gaspillage trop haut, satisfaction fragile, nutrition à sécuriser, texture et sauce prioritaires.</t>
  </si>
  <si>
    <t>Offre légumineuses : lentilles, pois chiches, haricots, fèves et pois cassés diversifiés sur le cycle pour éviter la répétition.</t>
  </si>
  <si>
    <t>Audit budget : prix matière stable mais main-d’œuvre élevée, temps de préparation long, pertes au service et gaspillage convives à intégrer au coût portion.</t>
  </si>
  <si>
    <t>Retour production : alternative végétale acceptée au déjeuner mais refusée le soir ; sauce insuffisante, texture sèche et gaspillage plus élevé au dîner.</t>
  </si>
  <si>
    <t>Test protéines de soja texturées : réhydratation longue, goût neutre, assaisonnement indispensable, allergène soja à afficher et satisfaction à mesurer.</t>
  </si>
  <si>
    <t>Recette haricots rouges : plat complet avec céréale, légumes, sauce, fibres, fer, équilibre du repas et coût portion compatible restauration collective.</t>
  </si>
  <si>
    <t>Plan d’amélioration : réduire gaspillage, renforcer assaisonnement, allonger sauce, tester satisfaction convives et mesurer acceptabilité sur deux services.</t>
  </si>
  <si>
    <t>Contrôle avant service : soja, lupin et gluten mentionnés sur l’étiquette allergène ; alternative prévue ; information convives claire.</t>
  </si>
  <si>
    <t>Approvisionnement local : féverole disponible, prix instable, texture à travailler, sauce nécessaire, acceptabilité inconnue et test convives obligatoire.</t>
  </si>
  <si>
    <t>Fiche technique : tempeh poêlé, sauce courte, goût fermenté marqué, coût supérieur au tofu, satisfaction convives à tester avant généralisation.</t>
  </si>
  <si>
    <t>Communication service : présenter le plat végétal positivement, sans culpabiliser, sans opposer les publics, avec une description simple de la sauce et des légumes.</t>
  </si>
  <si>
    <t>Menu test : quinoa et sarrasin utilisés en complément d’une légumineuse ; coût portion à comparer avec satisfaction convives et gaspillage.</t>
  </si>
  <si>
    <t>Plat végétal en EHPAD : texture onctueuse, mâche maîtrisée, sauce suffisante, goût lisible, fibres à contrôler et acceptabilité résidents à mesurer.</t>
  </si>
  <si>
    <t>Bolognaise aux lentilles : prix matière bas, temps de préparation long, texture correcte, goût peu marqué, gaspillage moyen et communication à améliorer.</t>
  </si>
  <si>
    <t>Essai tofu : tofu mariné avec sauce, assaisonnement renforcé, coût portion maîtrisé, satisfaction convives moyenne et allergène soja à signaler.</t>
  </si>
  <si>
    <t>Audit nutrition : plat complet avec légumineuse, céréale associée, fibres, fer, légumes et source de protéine végétale identifiable.</t>
  </si>
  <si>
    <t>Retour self : dhal de pois cassés jugé farineux, manque d’assaisonnement, tenue au chaud de 45 minutes, sauce trop courte, gaspillage important.</t>
  </si>
  <si>
    <t>Fiche allergène : seitan prévu ponctuellement ; gluten à afficher avant service ; alternative sans gluten prévue pour les convives concernés.</t>
  </si>
  <si>
    <t>Cycle de menus : substitution progressive d’une partie de la viande par lentilles, pois chiches et haricots ; acceptabilité à suivre sans opposer viande et végétal.</t>
  </si>
  <si>
    <t>Menu scolaire : curry de pois chiches avec riz complet, légumes rôtis, sauce coco légère, allergène éventuel soja absent, satisfaction à relever par niveau de classe.</t>
  </si>
  <si>
    <t>Le curry de pois chiches est mieux accepté quand il y a du riz, des légumes visibles, une sauce suffisante et un nom de plat clair.</t>
  </si>
  <si>
    <t>Test restauration collective : galette de lentilles servie en burger, texture trop friable, sauce froide appréciée, coût portion correct et pertes en production à suivre.</t>
  </si>
  <si>
    <t>Une galette de lentilles qui casse dans l’assiette donne une mauvaise image du plat et augmente le gaspillage.</t>
  </si>
  <si>
    <t>Réunion diététique : vérifier l’apport protéique d’un plat pois cassés et blé, limiter l’excès de fibres et prévoir une portion adaptée aux personnes âgées.</t>
  </si>
  <si>
    <t>Les lentilles peuvent remplacer une partie de la viande dans une sauce si le goût reste proche et si la texture est agréable.</t>
  </si>
  <si>
    <t>Plan de cycle : intégrer deux recettes de légumineuses par semaine sans répétition de couleur, de sauce ou de garniture pour éviter la lassitude.</t>
  </si>
  <si>
    <t>Un plat végétal sec doit être corrigé avec plus de sauce, une cuisson moins longue et un assaisonnement plus précis.</t>
  </si>
  <si>
    <t>Service du soir : tajine végétal aux pois chiches, sauce réduite trop vite, légumes bien perçus, satisfaction correcte mais gaspillage élevé sur les portions trop grandes.</t>
  </si>
  <si>
    <t>Avant de servir du tofu, on vérifie l’allergène soja et on prévoit une sauce car le produit seul est souvent trop neutre.</t>
  </si>
  <si>
    <t>Essai protéines végétales : haché végétal à base de soja texturé, allergène soja obligatoire, assaisonnement fumé utile et coût à comparer au bœuf haché.</t>
  </si>
  <si>
    <t>Le tempeh a un goût plus fort que le tofu, donc il faut le tester avant de le servir à beaucoup de convives.</t>
  </si>
  <si>
    <t>Contrôle production : cuisson des lentilles trop poussée, texture pâteuse, refroidissement lent, risque de perte de qualité en liaison froide.</t>
  </si>
  <si>
    <t>Les pois chiches peuvent être servis en couscous, en houmous, en curry ou en salade pour éviter la répétition.</t>
  </si>
  <si>
    <t>Fiche recette : lasagnes végétales aux lentilles, béchamel contrôlée, fromage signalé si présent, portionnement régulier et acceptabilité à mesurer en fin de service.</t>
  </si>
  <si>
    <t>Un plat avec légumineuse et céréale aide à faire un repas végétal plus complet.</t>
  </si>
  <si>
    <t>Analyse convives : refus du plat végétal lié au nom de la recette, à la couleur terne et à l’absence de garniture visible.</t>
  </si>
  <si>
    <t>La sauce est importante parce que les légumineuses absorbent du liquide pendant l’attente au chaud.</t>
  </si>
  <si>
    <t>Plat complet : pois chiches, boulgour, carottes, sauce yaourt citronnée, allergènes lait et gluten à déclarer selon la fiche technique.</t>
  </si>
  <si>
    <t>Si les convives ne comprennent pas le nom du plat, ils goûtent moins facilement et le gaspillage peut augmenter.</t>
  </si>
  <si>
    <t>Ajustement culinaire : renforcer épices douces, acidité, herbes fraîches et matière grasse mesurée pour améliorer le goût sans alourdir le coût portion.</t>
  </si>
  <si>
    <t>Le seitan contient du gluten, donc il ne convient pas aux personnes qui doivent éviter le gluten.</t>
  </si>
  <si>
    <t>Menu EHPAD : parmentier végétal aux lentilles corail, texture mixable, sauce intégrée, fibres modérées et contrôle de la tolérance digestive.</t>
  </si>
  <si>
    <t>Un affichage allergène doit être clair avant le service, surtout avec soja, gluten, lupin, lait ou fruits à coque.</t>
  </si>
  <si>
    <t>Gestion allergènes : recette au lupin testée en petite série, identification claire en production, affichage obligatoire et alternative sans lupin prévue.</t>
  </si>
  <si>
    <t>Les haricots rouges peuvent faire un plat rassasiant si la sauce est généreuse et les épices bien dosées.</t>
  </si>
  <si>
    <t>Audit self : les portions de chili végétal sont trop grandes, le reste assiette augmente et le coût réel dépasse le prix matière prévu.</t>
  </si>
  <si>
    <t>Un plat végétal peut coûter moins cher en matière première mais demander plus de temps de préparation.</t>
  </si>
  <si>
    <t>Optimisation achat : comparer lentilles sèches, lentilles appertisées et lentilles surgelées selon rendement, temps de main-d’œuvre et régularité de texture.</t>
  </si>
  <si>
    <t>Les retours assiette servent à savoir si le plat a vraiment été mangé ou seulement servi.</t>
  </si>
  <si>
    <t>Formation équipe : expliquer les protéines végétales sans discours militant, avec des repères simples sur goût, équilibre, cuisson et allergènes.</t>
  </si>
  <si>
    <t>Pour améliorer une recette aux pois cassés, on peut travailler le mixage, la sauce, les herbes et les épices.</t>
  </si>
  <si>
    <t>Essai froid : salade de pois chiches et quinoa, sauce insuffisante après stockage, assaisonnement absorbé et satisfaction plus faible au deuxième service.</t>
  </si>
  <si>
    <t>Une recette végétale réussie doit donner envie avant même d’être expliquée.</t>
  </si>
  <si>
    <t>Plan protéines : alterner légumineuses entières, purées, boulettes, sauces mijotées et gratins pour diversifier textures et modes de consommation.</t>
  </si>
  <si>
    <t>Le riz, le blé, le boulgour ou la semoule peuvent accompagner les légumineuses selon la recette.</t>
  </si>
  <si>
    <t>Contrôle qualité : plat végétal conforme nutritionnellement mais présentation peu attractive, couleur uniforme, sauce invisible et intitulé peu vendeur.</t>
  </si>
  <si>
    <t>Le goût fumé, les herbes, les épices douces et l’acidité peuvent renforcer un plat végétal.</t>
  </si>
  <si>
    <t>Budget annuel : augmenter les recettes de légumineuses peut réduire le prix matière mais augmente parfois le temps de préparation et le besoin d’assaisonnement.</t>
  </si>
  <si>
    <t>Un plat trop farineux doit être retravaillé car la texture compte autant que l’équilibre nutritionnel.</t>
  </si>
  <si>
    <t>Suivi gaspillage : mesurer retours plateau par recette végétale, par jour de service, par garniture et par tranche d’âge pour isoler les causes.</t>
  </si>
  <si>
    <t>Les légumineuses sèches coûtent souvent moins cher mais il faut prévoir le trempage et la cuisson.</t>
  </si>
  <si>
    <t>Recette seitan : texture ferme appréciée par certains convives, rejet possible par d’autres, gluten à signaler et cuisson en sauce recommandée.</t>
  </si>
  <si>
    <t>Les légumineuses en conserve sont pratiques mais il faut comparer le prix, le goût et le rendement.</t>
  </si>
  <si>
    <t>Production liaison froide : les haricots blancs deviennent secs au réchauffage, nécessité d’une sauce plus longue et d’un contrôle de remise en température.</t>
  </si>
  <si>
    <t>En EHPAD, un plat végétal doit être facile à mâcher, assez onctueux et bien assaisonné.</t>
  </si>
  <si>
    <t>Essai buffet : houmous de pois chiches, crudités, pain, allergènes sésame et gluten possibles, acceptabilité bonne mais portionnement à cadrer.</t>
  </si>
  <si>
    <t>Pour un plat mixé, il faut garder une texture lisse et un goût reconnaissable.</t>
  </si>
  <si>
    <t>Menu durable : réduire progressivement la viande dans un hachis en ajoutant lentilles et légumes sans modifier brutalement le profil gustatif.</t>
  </si>
  <si>
    <t>Un plat végétal ne doit pas être présenté comme une punition ou une obligation.</t>
  </si>
  <si>
    <t>Évaluation sensorielle : noter couleur, odeur, moelleux, sauce, mâche, assaisonnement et compréhension du plat par les convives.</t>
  </si>
  <si>
    <t>Une bonne phrase au self peut donner envie de goûter le plat aux lentilles.</t>
  </si>
  <si>
    <t>Cuisine centrale : dhal lentilles corail conditionné en barquettes, risque d’épaississement, correction par sauce et contrôle de viscosité avant expédition.</t>
  </si>
  <si>
    <t>Le gaspillage baisse quand les portions sont adaptées et que le plat est plus appétissant.</t>
  </si>
  <si>
    <t>Approvisionnement : pois chiches locaux disponibles mais calibrage irrégulier, trempage à sécuriser, rendement à vérifier et coût main-d’œuvre à intégrer.</t>
  </si>
  <si>
    <t>Un plat végétal peut être équilibré mais refusé si la couleur est triste ou si la sauce manque.</t>
  </si>
  <si>
    <t>Restauration scolaire : éviter d’introduire tofu, tempeh et seitan la même semaine pour ne pas saturer les convives avec des produits inconnus.</t>
  </si>
  <si>
    <t>Les élèves peuvent comparer deux versions d’une recette, une sèche et une avec sauce, pour comprendre la différence.</t>
  </si>
  <si>
    <t>Plat végétal signature : proposer un nom culinaire précis comme curry doux de lentilles plutôt qu’une appellation générique protéine végétale.</t>
  </si>
  <si>
    <t>Le soja doit être signalé dans les recettes avec tofu, protéines de soja ou sauce soja.</t>
  </si>
  <si>
    <t>Analyse nutritionnelle : vérifier complémentarité céréale et légumineuse, apport en légumes, densité énergétique et présence d’un corps gras de qualité.</t>
  </si>
  <si>
    <t>Le lupin est aussi un allergène et doit être indiqué s’il est utilisé dans une recette.</t>
  </si>
  <si>
    <t>Cuisine hospitalière : adapter les recettes riches en fibres aux régimes digestifs, aux textures modifiées et aux prescriptions individuelles.</t>
  </si>
  <si>
    <t>Les pâtes de légumineuses sont intéressantes mais leur cuisson doit être bien contrôlée.</t>
  </si>
  <si>
    <t>Contrôle coût : intégrer pertes au trempage, pertes à la cuisson, sauce ajoutée, main-d’œuvre et invendus dans le coût portion réel.</t>
  </si>
  <si>
    <t>Un plat végétal du soir peut être moins bien accepté si les convives sont fatigués ou moins curieux.</t>
  </si>
  <si>
    <t>Plan d’action : réduire une recette végétale sèche en augmentant liquide de cuisson, liant, sauce de nappage et contrôle de tenue au chaud.</t>
  </si>
  <si>
    <t>Pour varier, on peut alterner lentilles vertes, lentilles corail, haricots blancs, pois chiches et pois cassés.</t>
  </si>
  <si>
    <t>Menu à thème : couscous végétal aux pois chiches, légumes, semoule, raisins et sauce épicée douce avec allergène gluten à déclarer.</t>
  </si>
  <si>
    <t>Une recette de haricots blancs doit rester moelleuse après le réchauffage.</t>
  </si>
  <si>
    <t>Essai haricots blancs : cassoulet végétal acceptable si sauce tomate aromatique, garniture fumée végétale et cuisson longue maîtrisée.</t>
  </si>
  <si>
    <t>La tenue au chaud peut épaissir une sauce et rendre le plat moins agréable.</t>
  </si>
  <si>
    <t>Brief service : former les agents à présenter le plat végétal avec appétence, ingrédients connus, sauce mise en avant et option d’accompagnement.</t>
  </si>
  <si>
    <t>Un burger végétal doit avoir une galette qui tient, une sauce, du moelleux et du goût.</t>
  </si>
  <si>
    <t>Retour convives : satisfaction basse malgré bon équilibre, cause probable liée au manque de croustillant, au nom peu clair et à une sauce trop liquide.</t>
  </si>
  <si>
    <t>Les légumes visibles rendent souvent le plat végétal plus compréhensible et plus attirant.</t>
  </si>
  <si>
    <t>Recette mixée : purée de lentilles corail et légumes, texture lisse, assaisonnement doux, protéine identifiable et contrôle de la fluidité.</t>
  </si>
  <si>
    <t>On mesure la satisfaction avec un retour simple des convives et pas seulement avec l’avis de la cuisine.</t>
  </si>
  <si>
    <t>Gestion stock : privilégier légumineuses sèches pour coût bas mais prévoir trempage, cuisson longue, place de stockage et organisation la veille.</t>
  </si>
  <si>
    <t>Le prix matière ne suffit pas pour juger une recette, il faut aussi regarder le temps de travail et les pertes.</t>
  </si>
  <si>
    <t>Essai snack : wrap végétal aux haricots rouges, sauce épicée, crudités, allergène gluten de la tortilla et satisfaction à mesurer sur vente emportée.</t>
  </si>
  <si>
    <t>Une recette trop épicée peut être refusée même si elle est bien équilibrée.</t>
  </si>
  <si>
    <t>Réduction viande : remplacer un tiers de la viande par lentilles dans une sauce bolognaise tout en conservant repères de goût et texture.</t>
  </si>
  <si>
    <t>Une recette pas assez salée ou trop fade peut provoquer beaucoup de retours assiette.</t>
  </si>
  <si>
    <t>Contrôle étiquetage : vérifier soja caché dans aides culinaires, bouillons, sauces industrielles et protéines texturées avant validation allergène.</t>
  </si>
  <si>
    <t>Le nom curry doux de lentilles donne plus envie qu’un nom vague comme plat végétal.</t>
  </si>
  <si>
    <t>Plan formation : faire comparer deux versions d’un plat végétal, une sèche et une en sauce, pour relier technique culinaire et gaspillage.</t>
  </si>
  <si>
    <t>Les pois chiches rôtis peuvent être croustillants mais ils ramollissent si on les garde trop longtemps.</t>
  </si>
  <si>
    <t>Menu adultes : salade tiède de lentilles, œuf optionnel, légumes grillés et vinaigrette moutardée, allergènes à adapter selon composition finale.</t>
  </si>
  <si>
    <t>Une salade de lentilles doit avoir assez de vinaigrette car les lentilles absorbent l’assaisonnement.</t>
  </si>
  <si>
    <t>Suivi satisfaction : croiser note convive, quantité servie, reste assiette, météo, jour de semaine et intitulé de recette.</t>
  </si>
  <si>
    <t>Le froid peut diminuer le goût d’une salade végétale, donc l’assaisonnement doit être ajusté.</t>
  </si>
  <si>
    <t>Production grande série : remuer sans casser les légumineuses, éviter surcuisson, maintenir sauce homogène et contrôler le sel en fin de cuisson.</t>
  </si>
  <si>
    <t>Le quinoa peut compléter une recette mais son coût portion doit être surveillé.</t>
  </si>
  <si>
    <t>Achat tofu : choisir tofu ferme pour sauté, tofu soyeux pour sauce ou dessert, déclarer soja et tester acceptation avant achat massif.</t>
  </si>
  <si>
    <t>Le sarrasin apporte un goût différent mais il peut surprendre les convives.</t>
  </si>
  <si>
    <t>Menu inclusif : prévoir option végétale appétente pour tous sans la réserver uniquement aux régimes particuliers ou aux convives végétariens.</t>
  </si>
  <si>
    <t>Les fibres sont utiles mais il ne faut pas oublier la tolérance digestive des convives.</t>
  </si>
  <si>
    <t>Échec recette : steak végétal trop sec, cuisson trop longue, absence de sauce, pain absorbant et satisfaction très faible au self.</t>
  </si>
  <si>
    <t>Dans une cuisine collective, on teste d’abord une recette avant de la mettre souvent au menu.</t>
  </si>
  <si>
    <t>Plan correctif : réduire taille des portions, améliorer sauce, renommer recette, former service et refaire mesure gaspillage après deux semaines.</t>
  </si>
  <si>
    <t>Un plat végétal réussi doit être bon, clair, chaud, bien présenté et servi avec assez de sauce.</t>
  </si>
  <si>
    <t>Traçabilité : conserver fiche technique, fournisseur, allergènes, rendement, grammes servis et retours convives pour chaque recette végétale testée.</t>
  </si>
  <si>
    <t>Si le plat revient presque entier, il faut chercher la cause avant de refaire la même recette.</t>
  </si>
  <si>
    <t>Cuisine senior : limiter excès de légumineuses entières si mastication faible, privilégier textures fondantes, sauces liées et portions adaptées.</t>
  </si>
  <si>
    <t>Les causes possibles de gaspillage sont goût faible, texture sèche, portion trop grande ou mauvaise présentation.</t>
  </si>
  <si>
    <t>Analyse environnement : recette végétale intéressante mais refusée si qualité culinaire insuffisante, donc priorité au goût avant le message durable.</t>
  </si>
  <si>
    <t>Un topping croustillant peut améliorer un plat végétal mou ou trop uniforme.</t>
  </si>
  <si>
    <t>Essai lentilles vertes : bonne tenue en salade, cuisson à surveiller, vinaigrette généreuse nécessaire et association avec légumes croquants.</t>
  </si>
  <si>
    <t>Un gratin végétal peut mieux passer qu’une légumineuse servie seule.</t>
  </si>
  <si>
    <t>Offre hebdomadaire : ne pas placer deux plats secs successifs, alterner mijoté, gratin, salade composée, soupe complète et plat en sauce.</t>
  </si>
  <si>
    <t>Un potage de lentilles corail peut devenir un repas complet si la portion et la garniture sont adaptées.</t>
  </si>
  <si>
    <t>Gestion du chaud : les protéines végétales absorbent la sauce pendant l’attente, prévoir marge liquide et contrôle avant mise en ligne.</t>
  </si>
  <si>
    <t>Les épices douces permettent de donner du goût sans rendre le plat trop fort.</t>
  </si>
  <si>
    <t>Menu crèche : recette végétale douce, peu épicée, texture adaptée, allergènes strictement vérifiés et introduction validée selon protocole interne.</t>
  </si>
  <si>
    <t>Une sauce tomate bien cuisinée aide souvent les haricots rouges ou les lentilles.</t>
  </si>
  <si>
    <t>Comparatif fournisseur : évaluer goût, composition, allergènes, taux de protéine, prix au kilo, rendement cuisson et facilité de mise en œuvre.</t>
  </si>
  <si>
    <t>Le fromage peut améliorer un gratin mais il ajoute un allergène lait à signaler.</t>
  </si>
  <si>
    <t>Plat asiatique : nouilles sautées au tofu, légumes, sauce soja, allergènes soja et gluten possibles, vigilance sur sel et acceptabilité.</t>
  </si>
  <si>
    <t>La chapelure peut donner du croustillant mais elle peut contenir du gluten.</t>
  </si>
  <si>
    <t>Audit communication : les agents annoncent seulement plat végétarien, information insuffisante, il faut citer ingrédients principaux et sauce.</t>
  </si>
  <si>
    <t>On ne sert pas un plat au seitan à une personne qui doit éviter le gluten.</t>
  </si>
  <si>
    <t>Recette potage : soupe complète lentilles corail et légumes, apport protéique intéressant, texture facile, mais contrôle du sel et de la dilution nécessaire.</t>
  </si>
  <si>
    <t>Une alternative doit être prévue quand une recette contient un allergène important.</t>
  </si>
  <si>
    <t>Gestion imprévu : rupture pois chiches remplacés par haricots blancs, fiche technique à recalculer, texture différente et allergènes à revérifier.</t>
  </si>
  <si>
    <t>Les convives acceptent mieux un plat végétal quand il ressemble à un plat connu.</t>
  </si>
  <si>
    <t>Évaluation jeune public : introduire sauce tomate, épices douces, fromage optionnel ou topping croustillant pour améliorer acceptation des légumineuses.</t>
  </si>
  <si>
    <t>Une bolognaise moitié viande moitié lentilles peut aider à introduire les protéines végétales progressivement.</t>
  </si>
  <si>
    <t>Retour cuisine : les lentilles accrochent en cuisson longue, besoin d’un fond plus liquide, brassage régulier et refroidissement rapide.</t>
  </si>
  <si>
    <t>Les légumineuses doivent être bien cuites mais pas réduites en purée si la recette demande de la tenue.</t>
  </si>
  <si>
    <t>Menu sportif : associer céréales, légumineuses et légumes avec portion énergétique suffisante, sans négliger sauce et digestibilité.</t>
  </si>
  <si>
    <t>Une cuisson trop longue peut rendre les lentilles pâteuses.</t>
  </si>
  <si>
    <t>Contrôle final : avant service vérifier goût, température, texture, quantité de sauce, affichage allergènes et présence de l’alternative annoncée.</t>
  </si>
  <si>
    <t>Une cuisson trop courte peut rendre les pois chiches désagréables à manger.</t>
  </si>
  <si>
    <t>Recette méditerranéenne : boulettes de pois chiches au four, sauce tomate, semoule ou boulgour, vigilance sécheresse et allergène gluten.</t>
  </si>
  <si>
    <t>Le rinçage des légumineuses en conserve peut améliorer le goût et limiter l’excès de sel.</t>
  </si>
  <si>
    <t>Analyse portion : portion trop élevée de légumineuses peut augmenter refus, inconfort digestif et gaspillage malgré un coût matière faible.</t>
  </si>
  <si>
    <t>Le trempage des haricots doit être prévu à l’avance pour organiser la production.</t>
  </si>
  <si>
    <t>Suivi mensuel : classer recettes végétales selon satisfaction, gaspillage, coût réel, facilité de production et conformité allergène.</t>
  </si>
  <si>
    <t>Une recette végétale doit être contrôlée en goût juste avant le service.</t>
  </si>
  <si>
    <t>Restauration entreprise : proposer bowl lentilles, légumes, céréale, sauce et topping, avec affichage clair des allergènes et choix attractif.</t>
  </si>
  <si>
    <t>Le cuisinier vérifie la température, la sauce, la texture et les allergènes avant l’envoi.</t>
  </si>
  <si>
    <t>Essai pois chiches rôtis : texture croustillante au départ mais ramollissement rapide en maintien chaud, service immédiat recommandé.</t>
  </si>
  <si>
    <t>Le service doit savoir expliquer simplement ce qu’il y a dans le plat.</t>
  </si>
  <si>
    <t>Gestion des restes : réemployer légumineuses cuites uniquement dans le respect refroidissement, traçabilité, DLC interne et qualité organoleptique.</t>
  </si>
  <si>
    <t>Il vaut mieux dire lentilles cuisinées à la tomate que seulement plat sans viande.</t>
  </si>
  <si>
    <t>Plan allergène : séparer ustensiles et zones si recette avec soja ou gluten, éviter contamination croisée et contrôler l’affichage convive.</t>
  </si>
  <si>
    <t>Un plat sans viande n’est pas automatiquement équilibré, il faut regarder la protéine, les légumes et l’accompagnement.</t>
  </si>
  <si>
    <t>Recette économique : soupe épaisse de haricots rouges et légumes, coût bas, satiété correcte, mais présentation et garniture à améliorer.</t>
  </si>
  <si>
    <t>Une portion trop grosse peut faire monter le gaspillage même si le plat est bon.</t>
  </si>
  <si>
    <t>Audit recette : plat végétal techniquement correct mais trop monochrome, ajouter herbes, légumes contrastés et sauce visible au dressage.</t>
  </si>
  <si>
    <t>Une petite portion d’essai peut aider les convives à goûter sans risque de jeter beaucoup.</t>
  </si>
  <si>
    <t>Test dégustation : proposer échantillons avant généralisation, recueillir verbatims, noter refus, ajuster assaisonnement et relancer essai.</t>
  </si>
  <si>
    <t>Le retour des convives aide à décider si la recette doit être gardée, corrigée ou retirée.</t>
  </si>
  <si>
    <t>Plan de montée en charge : passer d’un service test à un cycle complet seulement si coût, satisfaction, gaspillage et allergènes sont stabilisés.</t>
  </si>
  <si>
    <t>La même légumineuse peut être mieux acceptée en sauce qu’en salade sèche.</t>
  </si>
  <si>
    <t>Cuisine banquet : prévoir plat végétal en sauce qui supporte attente, dressage rapide, allergènes maîtrisés et portion constante.</t>
  </si>
  <si>
    <t>Une sauce courte signifie qu’il n’y a pas assez de sauce pour napper le plat.</t>
  </si>
  <si>
    <t>Recette petit budget : lentilles corail tomate et riz, très bon coût portion, mais besoin d’épices, acidité et matière grasse mesurée.</t>
  </si>
  <si>
    <t>Un plat végétal peut être économique seulement si les retours assiette restent faibles.</t>
  </si>
  <si>
    <t>Vigilance seitan : produit riche en gluten, exclu pour intolérants ou cœliaques, alternative pois chiches ou lentilles à prévoir.</t>
  </si>
  <si>
    <t>Le coût réel augmente quand on ajoute du temps de travail, des pertes et beaucoup de gaspillage.</t>
  </si>
  <si>
    <t>Menu flexitarien : proposer sauce bolognaise moitié viande moitié lentilles pour transition, mesurer acceptabilité et réduire rejet initial.</t>
  </si>
  <si>
    <t>Une recette aux haricots rouges peut fonctionner avec riz, maïs, tomate, épices douces et sauce.</t>
  </si>
  <si>
    <t>Contrôle texture : rechercher fondant, moelleux et nappage, éviter farineux, collant, sec ou granuleux selon le public accueilli.</t>
  </si>
  <si>
    <t>Une recette aux lentilles corail peut devenir trop épaisse si elle attend longtemps.</t>
  </si>
  <si>
    <t>Cuisine en EHPAD : les légumineuses entières doivent être testées sur mastication, déglutition, confort digestif et satisfaction résident.</t>
  </si>
  <si>
    <t>Les herbes fraîches peuvent améliorer l’odeur, la couleur et le goût d’un plat végétal.</t>
  </si>
  <si>
    <t>Formation CFA interne : faire calculer coût portion théorique puis coût réel après pertes, sauce ajoutée et restes assiette.</t>
  </si>
  <si>
    <t>La communication au self doit rester simple, positive et concrète.</t>
  </si>
  <si>
    <t>Recette orientale : pois chiches mijotés aux légumes, sauce cumin tomate, semoule, herbes fraîches et contrôle de tenue au chaud.</t>
  </si>
  <si>
    <t>On évite les grands discours sur l’environnement si le plat n’est pas bon.</t>
  </si>
  <si>
    <t>Menu sans soja : privilégier lentilles, haricots, pois cassés et pois chiches pour éviter allergène soja dans une offre végétale régulière.</t>
  </si>
  <si>
    <t>La priorité est de faire un plat végétal agréable à manger.</t>
  </si>
  <si>
    <t>Diagnostic refus : convives ne reconnaissent pas le produit, texture molle, sauce absente et affichage trop technique en ligne de self.</t>
  </si>
  <si>
    <t>Les recettes végétales doivent être variées pour éviter que les convives disent encore des lentilles.</t>
  </si>
  <si>
    <t>Plan de progrès : sélectionner trois recettes végétales fiables avant d’élargir le cycle à des produits plus spécifiques comme tempeh ou lupin.</t>
  </si>
  <si>
    <t>Le cuisinier peut noter les recettes les plus appréciées pour construire le prochain cycle de menus.</t>
  </si>
  <si>
    <t>Production pâté végétal : lentilles et noix possibles, allergènes fruits à coque à déclarer, texture tartinable et portion d’entrée à cadrer.</t>
  </si>
  <si>
    <t>Une recette refusée une fois peut réussir après correction de la sauce, du nom et de la texture.</t>
  </si>
  <si>
    <t>Contrôle fiche : vérifier grammages crus et cuits, rendement, valeur protéique, allergènes, mode de remise en température et conseil de service.</t>
  </si>
  <si>
    <t>Il faut distinguer refus par goût, refus par texture et refus par manque d’information.</t>
  </si>
  <si>
    <t>Essai pâtes légumineuses : teneur protéique intéressante, coût plus élevé, texture fragile et acceptabilité variable selon cuisson.</t>
  </si>
  <si>
    <t>Le plat végétal doit rester lisible, avec des ingrédients que les convives peuvent reconnaître.</t>
  </si>
  <si>
    <t>Menu mixte : ne pas supprimer brutalement la viande, introduire recettes végétales lisibles et travaillées pour éviter rejet de principe.</t>
  </si>
  <si>
    <t>En restauration collective, une recette doit aussi être facile à produire en grande quantité.</t>
  </si>
  <si>
    <t>Qualité gustative : umami, acidité, gras, herbes, épices et sauce doivent compenser la neutralité de certaines protéines végétales.</t>
  </si>
  <si>
    <t>Un plat végétal trop fragile peut se casser pendant le service et devenir moins appétissant.</t>
  </si>
  <si>
    <t>Suivi EHPAD : noter prise alimentaire réelle, refus, fatigue masticatoire, texture, sauce et tolérance digestive après plat végétal.</t>
  </si>
  <si>
    <t>Une sauce bien liée aide à garder le moelleux pendant le maintien au chaud.</t>
  </si>
  <si>
    <t>Recette collective : gratin de haricots blancs et légumes, sauce tomate liée, chapelure possible, allergène gluten selon finition.</t>
  </si>
  <si>
    <t>Un menu végétal peut être proposé à tous les convives, pas seulement aux végétariens.</t>
  </si>
  <si>
    <t>Audit achat responsable : produit local intéressant seulement si qualité régulière, prix maîtrisé, acceptabilité et contraintes cuisine compatibles.</t>
  </si>
  <si>
    <t>Les protéines végétales demandent du travail culinaire pour être acceptées.</t>
  </si>
  <si>
    <t>Service éducatif : afficher un message court sur les ingrédients et non un discours moral pour favoriser curiosité et choix volontaire.</t>
  </si>
  <si>
    <t>Le bilan d’une recette regarde le goût, la texture, la sauce, le coût, les allergènes et le gaspillage.</t>
  </si>
  <si>
    <t>Bilan annuel : conserver uniquement les recettes végétales qui atteignent les seuils fixés de satisfaction, gaspillage, coût et sécurité allergène.</t>
  </si>
  <si>
    <t>Une bonne recette végétale doit pouvoir être répétée avec le même résultat.</t>
  </si>
  <si>
    <t>Préparation amont : trempage des haricots planifié, rinçage, cuisson test, refroidissement réglementaire et contrôle de texture avant assemblage.</t>
  </si>
  <si>
    <t>Quand on change un ingrédient, il faut revérifier la fiche technique et les allergènes.</t>
  </si>
  <si>
    <t>Le plan ne cherche pas une substitution brutale de la viande, mais une diversification progressive avec des alternatives végétales bien expliquées aux convives.;substitution / alternative / végétal</t>
  </si>
  <si>
    <t>Une légumineuse comme le pois chiche peut remplacer une partie de la protéine animale dans un plat complet, à condition de travailler la texture et le goût.;légumineuse / protéine / texture-goût</t>
  </si>
  <si>
    <t>Une légumineuse comme le pois chiche peut remplacer une partie de la protéine animale dans un plat complet, à condition de travailler le ressenti en bouche, la texture et le goût.;légumineuse / protéine / bouche / texture / goût</t>
  </si>
  <si>
    <t>Le coût portion doit être suivi avant de modifier les menus : certaines alternatives végétales sont économiques, mais demandent plus de travail en cuisine.;coût / alternative / végétal</t>
  </si>
  <si>
    <t>Le seitan peut être utilisé ponctuellement, mais uniquement avec un contrôle clair de l’allergène gluten et une information précise pour les convives.;seitan / gluten</t>
  </si>
  <si>
    <t>Il ne faut pas présenter le plat végétal comme une punition ou une baisse de qualité. Il doit être expliqué comme une autre façon de cuisiner les protéines.;végétal / nutrition</t>
  </si>
  <si>
    <t>La réussite dépend beaucoup du ressenti en bouche : une recette végétale sèche, farineuse ou mal assaisonnée sera rejetée même si elle est correcte sur le plan nutritionnel.;bouche / végétal / nutrition</t>
  </si>
  <si>
    <t>Les lentilles sont utiles, mais le plan doit aussi intégrer pois chiches, haricots rouges, haricots blancs, pois cassés, fèves, soja, tofu, tempeh et céréales complémentaires.;légumineuse / végétal / nutrition</t>
  </si>
  <si>
    <t>Une alternative végétale doit être testée avec les équipes avant généralisation : grammage, tenue au chaud, coût portion, acceptabilité et gaspillage doivent être suivis.;alternative / végétal / coût</t>
  </si>
  <si>
    <t>Le menu peut associer une légumineuse et une céréale, par exemple pois chiches et semoule, haricots rouges et riz, ou lentilles et blé, afin d’améliorer la qualité nutritionnelle globale.;légumineuse / nutrition</t>
  </si>
  <si>
    <t>Le plan doit éviter l’opposition entre mangeurs de viande et mangeurs de plats végétaux. L’objectif est d’élargir l’offre, pas de culpabiliser les publics.;végétal</t>
  </si>
  <si>
    <t>Un chili végétal aux haricots rouges peut être économiquement intéressant, mais il faut comparer le coût matière, le temps de préparation, les pertes et les retours plateaux.;végétal / coût</t>
  </si>
  <si>
    <t>Le tofu n’est pas une solution magique : il doit être mariné, saisi, assaisonné et intégré dans une recette identifiable pour améliorer le ressenti en bouche.;bouche / végétal</t>
  </si>
  <si>
    <t>Le remplacement partiel d’une protéine animale par une légumineuse peut fonctionner dans une sauce, un gratin, un hachis ou une farce, mais il faut garder une cohérence culinaire.;substitution / légumineuse</t>
  </si>
  <si>
    <t>Une recette végétale réussie n’est pas seulement une recette sans viande. Elle doit avoir une source protéique claire, une garniture adaptée, une sauce et une texture agréable.;végétal / nutrition / bouche</t>
  </si>
  <si>
    <t>Le suivi annuel doit mesurer le nombre de menus végétariens, la variété des protéines végétales, le coût portion, le gaspillage et la satisfaction des convives.;végétal / coût</t>
  </si>
  <si>
    <t>Le plan pluriannuel doit commencer par des plats connus : chili, dhal, couscous végétal, curry de pois chiches, bolognaise de lentilles ou galette de haricots.;végétal / lentilles / pois chiches</t>
  </si>
  <si>
    <t>L’alternative ne doit pas être imposée sans pédagogie. Le vocabulaire utilisé en salle, sur le menu et en formation influence fortement l’acceptation du plat.;alternative</t>
  </si>
  <si>
    <t>Pour éviter de citer toujours les lentilles, le moteur doit vérifier la diversité des familles : pois chiches, haricots, pois cassés, fèves, soja, tofu, tempeh, lupin et graines.;lentilles / végétal / légumineuse</t>
  </si>
  <si>
    <t>Une substitution mal expliquée peut créer du rejet. Il vaut mieux parler de recette complète, de goût, de saison, de coût maîtrisé et de qualité nutritionnelle.;substitution / coût / nutrition</t>
  </si>
  <si>
    <t>Le seitan contient du gluten : il ne doit jamais être utilisé comme solution universelle et doit rester clairement identifié dans le plan allergènes.;seitan / gluten</t>
  </si>
  <si>
    <t>Tous les textes ne déclenchent pas le même nombre de OUI</t>
  </si>
  <si>
    <t xml:space="preserve">Professionnel  </t>
  </si>
  <si>
    <t>Collez 1 texte dans la cellule C4 du Moteur</t>
  </si>
  <si>
    <t>◄ largeurs de colonnes</t>
  </si>
  <si>
    <t>Repas servis sur l’année ►</t>
  </si>
  <si>
    <t>Menus végétariens servis ►</t>
  </si>
  <si>
    <t>Portions servies en menus végétaux ►</t>
  </si>
  <si>
    <t>Recettes avec légumineuses ►</t>
  </si>
  <si>
    <t>Recettes soja ►</t>
  </si>
  <si>
    <t>Recettes seitan/gluten ►</t>
  </si>
  <si>
    <t>Économie / surcoût annuel estimé ►</t>
  </si>
  <si>
    <t>Gaspillage moyen pondéré ►</t>
  </si>
  <si>
    <t>Satisfaction moyenne pondérée ►</t>
  </si>
  <si>
    <t>▼ largeurs de colonnes</t>
  </si>
  <si>
    <t xml:space="preserve">Rendre le moteur visible : saisir un texte, détecter des mots-clés, produire un résumé audit </t>
  </si>
  <si>
    <t>Avant de saisir du texte dans une cellule; vérifier qu'elle ne contienne pas de formule</t>
  </si>
  <si>
    <t>Plan_proteines_moteur  ►</t>
  </si>
  <si>
    <t>Regles_moteur  ►</t>
  </si>
  <si>
    <t>Proteines_vegetales  ►</t>
  </si>
  <si>
    <t>Indicateurs_suivi  ►</t>
  </si>
  <si>
    <t>Audit_resume_moteur  ►</t>
  </si>
  <si>
    <t>Moteur_demo_CFA  ►</t>
  </si>
  <si>
    <t>Sources_fiables  ►</t>
  </si>
  <si>
    <t>Exemple économique  ►</t>
  </si>
  <si>
    <t>Expliquer sans culpabiliser  ►</t>
  </si>
  <si>
    <t>Ressenti en bouche  ►</t>
  </si>
  <si>
    <t>Seitan / gluten  ►</t>
  </si>
  <si>
    <t>Lecture nutritionnelle  ►</t>
  </si>
  <si>
    <t>Pourquoi pas seulement les lentilles  ►</t>
  </si>
  <si>
    <t>Zones à modifier  ►</t>
  </si>
  <si>
    <t>Parcours conseillé en formation  ►</t>
  </si>
  <si>
    <t>Consigne ►</t>
  </si>
  <si>
    <t>But ►</t>
  </si>
  <si>
    <t>Résumé court ►</t>
  </si>
  <si>
    <t>Détections totales ►</t>
  </si>
  <si>
    <t>Substitution / alternative ►</t>
  </si>
  <si>
    <t>Végétal / légumineuse ►</t>
  </si>
  <si>
    <t>Coût ►</t>
  </si>
  <si>
    <t>Bouche ►</t>
  </si>
  <si>
    <t>Seitan / gluten ►</t>
  </si>
  <si>
    <t>Nutrition ►</t>
  </si>
  <si>
    <t>Décision formateur ►</t>
  </si>
  <si>
    <t>Exemples à tester ►</t>
  </si>
  <si>
    <t>Lecture ►</t>
  </si>
  <si>
    <t>Texte à analyser ►</t>
  </si>
  <si>
    <t>Texte normalisé ►</t>
  </si>
  <si>
    <t>Nombre de signaux ►</t>
  </si>
  <si>
    <t>Niveau audit ►</t>
  </si>
  <si>
    <t>Résumé audit ►</t>
  </si>
  <si>
    <t>Arbitrage économique ►</t>
  </si>
  <si>
    <t>Ne pas culpabiliser ►</t>
  </si>
  <si>
    <t>Ressenti en bouche ►</t>
  </si>
  <si>
    <t>Seitan ►</t>
  </si>
  <si>
    <t>Lentilles trop citées ►</t>
  </si>
  <si>
    <t>Ligne audit 1  ►</t>
  </si>
  <si>
    <t>Ligne audit 2  ►</t>
  </si>
  <si>
    <t>Ligne audit 3  ►</t>
  </si>
  <si>
    <t>Ligne audit 4  ►</t>
  </si>
  <si>
    <t>Ligne audit 5  ►</t>
  </si>
  <si>
    <t>Ligne audit 6  ►</t>
  </si>
  <si>
    <t>Ligne audit 7  ►</t>
  </si>
  <si>
    <t>Ligne audit 8  ►</t>
  </si>
  <si>
    <t>Texte à coller ;  1 texte par cellule C4 pour tester l’onglet Moteur</t>
  </si>
  <si>
    <t>Troisième Moteur de détection et résumé audit   (moteur plus léger pour tests)</t>
  </si>
  <si>
    <t>Plan diversification complet : le responsable parle de substitution progressive, d’une alternative, de plusieurs alternatives, d’un plat végétal et d’une version vegetal sans accent ; il cite une légumineuse, des légumineuses, une legumineuse et des legumineuses sans accent.</t>
  </si>
  <si>
    <t>substitution / alternative / alternatives / végétal / vegetal / légumineuse / légumineuses / legumineuse / legumineuses</t>
  </si>
  <si>
    <t>Teste la famille plan, y compris les variantes accentuées et non accentuées.</t>
  </si>
  <si>
    <t>Mots déclencheurs attendus ►</t>
  </si>
  <si>
    <t>Familles ciblées ►</t>
  </si>
  <si>
    <t>Objectif du test ►</t>
  </si>
  <si>
    <t>Analyse économique : coût portion, cout réel, prix matière, budget annuel et gaspillage doivent être suivis avant de généraliser la recette.</t>
  </si>
  <si>
    <t>coût / cout / prix / budget / gaspillage</t>
  </si>
  <si>
    <t>Teste tous les déclencheurs économiques.</t>
  </si>
  <si>
    <t>Communication au self : ne pas culpabiliser les convives, ne pas opposer viande et végétal, mesurer l’acceptabilité et la satisfaction après service.</t>
  </si>
  <si>
    <t>culpabiliser / convives / opposer / acceptabilité / satisfaction / végétal</t>
  </si>
  <si>
    <t>COMMUNICATION_PUBLICS + PLAN_DIVERSIFICATION</t>
  </si>
  <si>
    <t>Teste l’acceptabilité et la formulation auprès du public.</t>
  </si>
  <si>
    <t>Ressenti en bouche : la texture est sèche, le plat est sec, parfois farineux ou farineuse ; il manque du goût, du moelleux, du fondant, de la mâche, du croquant, un côté onctueux, de l’assaisonnement et de la sauce après tenue au chaud.</t>
  </si>
  <si>
    <t>ressenti en bouche / bouche / texture / sèche / sec / farineux / farineuse / goût / moelleux / fondant / mâche / croquant / onctueux / assaisonnement / sauce / tenue au chaud</t>
  </si>
  <si>
    <t>Teste les principaux marqueurs sensoriels et de production.</t>
  </si>
  <si>
    <t>Version sans accents : le gout est faible, la recette seche manque de mache, la sauce ne corrige pas le ressenti en bouche et la texture reste difficile.</t>
  </si>
  <si>
    <t>gout / seche / mache / sauce / ressenti en bouche / texture</t>
  </si>
  <si>
    <t>Teste les variantes non accentuées des mots sensoriels.</t>
  </si>
  <si>
    <t>Lecture nutritionnelle : la nutrition, le plan nutritionnel, la protéine, les protéines, l’équilibre, l’apport protéique, le plat complet, la céréale, les fibres et le fer sont contrôlés.</t>
  </si>
  <si>
    <t>nutrition / nutritionnel / protéine / protéines / équilibre / apport protéique / plat complet / céréale / fibres / fer</t>
  </si>
  <si>
    <t>Teste les déclencheurs nutritionnels accentués.</t>
  </si>
  <si>
    <t>Version nutrition sans accents : proteine, proteines, equilibre, apport proteique et cereale sont écrits sans accents pour vérifier les variantes du dictionnaire.</t>
  </si>
  <si>
    <t>proteine / proteines / equilibre / apport proteique / cereale</t>
  </si>
  <si>
    <t>Teste les variantes non accentuées du bloc nutrition.</t>
  </si>
  <si>
    <t>Allergène critique : le seitan contient du gluten ; il faut une information claire et une alternative pour les convives concernés.</t>
  </si>
  <si>
    <t>seitan / gluten / alternative / convives</t>
  </si>
  <si>
    <t>ALLERGENE_GLUTEN + COMMUNICATION_PUBLICS</t>
  </si>
  <si>
    <t>Teste le bloc critique seitan-gluten.</t>
  </si>
  <si>
    <t>Sources végétales classiques : lentilles, pois chiche, pois chiches, haricots, pois cassés, fèves, feves, féverole, feverole et graines doivent être répartis sur le cycle.</t>
  </si>
  <si>
    <t>lentilles / pois chiche / pois chiches / haricots / pois cassés / fèves / feves / féverole / feverole / graines</t>
  </si>
  <si>
    <t>Teste les légumineuses et variantes accentuées ou non.</t>
  </si>
  <si>
    <t>Sources végétales complémentaires : soja, tofu, tempeh, lupin, quinoa, sarrasin, protéines de soja texturées et proteines de soja texturees sont comparés selon coût, texture, allergènes et acceptabilité.</t>
  </si>
  <si>
    <t>soja / tofu / tempeh / lupin / quinoa / sarrasin / protéines de soja texturées / proteines de soja texturees / coût / texture / acceptabilité</t>
  </si>
  <si>
    <t>SOURCE_PROTEINE_VEGETALE + ECONOMIE + RESSENTI + COMMUNICATION</t>
  </si>
  <si>
    <t>Teste soja et dérivés, pseudo-céréales et mots transversaux.</t>
  </si>
  <si>
    <t>alternative, végétal, coût, légumineuse, lentilles, bouche, nutrition, seitan, gluten.</t>
  </si>
  <si>
    <t>presque tout</t>
  </si>
  <si>
    <t>Teste tous les déclencheurs</t>
  </si>
  <si>
    <t>Ce qui a été fait</t>
  </si>
  <si>
    <t>Zone</t>
  </si>
  <si>
    <t>I1:O6</t>
  </si>
  <si>
    <t>résumé du greffon CFA terrain</t>
  </si>
  <si>
    <t>I8:O19</t>
  </si>
  <si>
    <t>synthèse par familles détectées</t>
  </si>
  <si>
    <t>I22:O32</t>
  </si>
  <si>
    <t>top 10 des déclencheurs trouvés</t>
  </si>
  <si>
    <t>I36:O46</t>
  </si>
  <si>
    <t>10 textes terrain CFA pour tester</t>
  </si>
  <si>
    <t>R8:AB130</t>
  </si>
  <si>
    <t>dictionnaire + détection technique</t>
  </si>
  <si>
    <t>Contenu du greffon</t>
  </si>
  <si>
    <t>familles utiles : texture, sauce, goût, gaspillage, acceptabilité, communication, allergènes, protéines, économie, production, nutrition.</t>
  </si>
  <si>
    <t>GREFFON CFA TERRAIN — lecture complémentaire sans modifier le moteur historique</t>
  </si>
  <si>
    <t>Principe : le greffon lit directement C4, ajoute une lecture jeune CFA / terrain / fautes courantes, et laisse A:H intact.</t>
  </si>
  <si>
    <t>Texte source C4</t>
  </si>
  <si>
    <t>Texte normalisé CFA</t>
  </si>
  <si>
    <t>Total déclencheurs CFA</t>
  </si>
  <si>
    <t>Score pondéré</t>
  </si>
  <si>
    <t>Diagnostic terrain</t>
  </si>
  <si>
    <t>Mode conseillé</t>
  </si>
  <si>
    <t>Lecture double : A:H = moteur historique PRO | I:AB = greffon CFA terrain</t>
  </si>
  <si>
    <t>Nb</t>
  </si>
  <si>
    <t>Score</t>
  </si>
  <si>
    <t>Premier déclencheur</t>
  </si>
  <si>
    <t>Mot-clé CFA normalisé</t>
  </si>
  <si>
    <t>Poids</t>
  </si>
  <si>
    <t>Message CFA</t>
  </si>
  <si>
    <t>Rang détecté</t>
  </si>
  <si>
    <t>Rang famille</t>
  </si>
  <si>
    <t>Clé première famille</t>
  </si>
  <si>
    <t>TEXTURE</t>
  </si>
  <si>
    <t>Repère sec, pâteux, farineux, trop cuit, mou, cassant.</t>
  </si>
  <si>
    <t>Faire relier texture à cuisson, sauce, maintien au chaud.</t>
  </si>
  <si>
    <t>SAUCE</t>
  </si>
  <si>
    <t>Repère manque de sauce, sauce courte, marinade, nappage.</t>
  </si>
  <si>
    <t>Faire proposer une correction concrète.</t>
  </si>
  <si>
    <t>NEG</t>
  </si>
  <si>
    <t>trop sec</t>
  </si>
  <si>
    <t>Tu as repéré un plat trop sec.</t>
  </si>
  <si>
    <t>Demander sauce, cuisson ou maintien au chaud.</t>
  </si>
  <si>
    <t>GOUT</t>
  </si>
  <si>
    <t>Repère fade, pas de goût, assaisonnement, épices, herbes.</t>
  </si>
  <si>
    <t>Faire préciser comment donner du goût.</t>
  </si>
  <si>
    <t>Tu as repéré un problème de texture sèche.</t>
  </si>
  <si>
    <t>Faire préciser la correction.</t>
  </si>
  <si>
    <t>Repère restes, poubelle, pas mangé, assiettes pleines.</t>
  </si>
  <si>
    <t>Faire chercher cause + solution.</t>
  </si>
  <si>
    <t>Repère refus, pas aimé, donne pas envie, personne goûte.</t>
  </si>
  <si>
    <t>Faire distinguer goût, texture, présentation, communication.</t>
  </si>
  <si>
    <t>pateux</t>
  </si>
  <si>
    <t>Tu as repéré une texture pâteuse.</t>
  </si>
  <si>
    <t>Relier à cuisson ou liaison.</t>
  </si>
  <si>
    <t>Repère pas expliqué, self, nom du plat, annonce.</t>
  </si>
  <si>
    <t>Faire travailler une phrase de présentation simple.</t>
  </si>
  <si>
    <t>Tu as repéré une texture farineuse.</t>
  </si>
  <si>
    <t>Demander mixage, sauce ou cuisson.</t>
  </si>
  <si>
    <t>ALLERGENES</t>
  </si>
  <si>
    <t>Repère gluten, soja, lupin, lait, sésame, alternative.</t>
  </si>
  <si>
    <t>Exiger affichage et alternative si nécessaire.</t>
  </si>
  <si>
    <t>mou</t>
  </si>
  <si>
    <t>Tu as repéré une texture molle.</t>
  </si>
  <si>
    <t>Faire proposer croustillant ou garniture.</t>
  </si>
  <si>
    <t>PROTEINES</t>
  </si>
  <si>
    <t>Repère lentilles, pois chiches, haricots, tofu, tempeh.</t>
  </si>
  <si>
    <t>Faire varier les sources, éviter le réflexe lentilles.</t>
  </si>
  <si>
    <t>trop cuit</t>
  </si>
  <si>
    <t>Tu as vu un problème de cuisson.</t>
  </si>
  <si>
    <t>Faire expliquer la conséquence.</t>
  </si>
  <si>
    <t>Repère coût, prix, budget, portion, pertes.</t>
  </si>
  <si>
    <t>Ne pas conclure sans intégrer gaspillage et main-d'œuvre.</t>
  </si>
  <si>
    <t>trop cuite</t>
  </si>
  <si>
    <t>Repère maintien au chaud, cuisson, trempage, réchauffage.</t>
  </si>
  <si>
    <t>Relier technique de production à qualité finale.</t>
  </si>
  <si>
    <t>epais</t>
  </si>
  <si>
    <t>Tu as repéré un plat trop épais.</t>
  </si>
  <si>
    <t>Relier à attente ou hydratation.</t>
  </si>
  <si>
    <t>Repère repas complet, équilibre, céréale, fibres, fer.</t>
  </si>
  <si>
    <t>Faire compléter la réponse avec équilibre et garniture.</t>
  </si>
  <si>
    <t>puree</t>
  </si>
  <si>
    <t>Tu as repéré une texture purée.</t>
  </si>
  <si>
    <t>Faire préciser si c'est voulu ou subi.</t>
  </si>
  <si>
    <t>colle</t>
  </si>
  <si>
    <t>Tu as repéré une texture collante.</t>
  </si>
  <si>
    <t>Chercher cuisson, amidon, sauce.</t>
  </si>
  <si>
    <t>se casse</t>
  </si>
  <si>
    <t>Tu as repéré une galette qui casse.</t>
  </si>
  <si>
    <t>Relier à liant ou cuisson.</t>
  </si>
  <si>
    <t>casse</t>
  </si>
  <si>
    <t>Tu as repéré une fragilité de texture.</t>
  </si>
  <si>
    <t>Faire proposer un liant.</t>
  </si>
  <si>
    <t>pas assez de sauce</t>
  </si>
  <si>
    <t>Tu as vu qu'il manque de sauce.</t>
  </si>
  <si>
    <t>Faire relier au gaspillage.</t>
  </si>
  <si>
    <t>manque de sauce</t>
  </si>
  <si>
    <t>Faire proposer une correction.</t>
  </si>
  <si>
    <t>pas asser de sauce</t>
  </si>
  <si>
    <t>Tu as repéré la faute mais l'idée est bonne.</t>
  </si>
  <si>
    <t>Valoriser l'observation terrain.</t>
  </si>
  <si>
    <t>sauce courte</t>
  </si>
  <si>
    <t>Tu as repéré une sauce insuffisante.</t>
  </si>
  <si>
    <t>Faire expliquer sauce courte.</t>
  </si>
  <si>
    <t>POS</t>
  </si>
  <si>
    <t>plus de sauce</t>
  </si>
  <si>
    <t>Tu proposes une correction simple.</t>
  </si>
  <si>
    <t>Faire préciser quantité ou texture.</t>
  </si>
  <si>
    <t>INFO</t>
  </si>
  <si>
    <t>Tu as parlé de sauce.</t>
  </si>
  <si>
    <t>Faire préciser si elle manque ou aide.</t>
  </si>
  <si>
    <t>marinade</t>
  </si>
  <si>
    <t>Tu as cité la marinade.</t>
  </si>
  <si>
    <t>Relier au tofu ou protéines neutres.</t>
  </si>
  <si>
    <t>napper</t>
  </si>
  <si>
    <t>Tu as pensé au nappage.</t>
  </si>
  <si>
    <t>Relier à texture et acceptabilité.</t>
  </si>
  <si>
    <t>pas de gout</t>
  </si>
  <si>
    <t>Tu as repéré un manque de goût.</t>
  </si>
  <si>
    <t>Faire parler assaisonnement, herbes, épices.</t>
  </si>
  <si>
    <t>a pas de gout</t>
  </si>
  <si>
    <t>Tu as repéré un manque de goût malgré une formulation orale.</t>
  </si>
  <si>
    <t>Valoriser et faire reformuler.</t>
  </si>
  <si>
    <t>fade</t>
  </si>
  <si>
    <t>Tu as repéré un plat fade.</t>
  </si>
  <si>
    <t>Demander correction d'assaisonnement.</t>
  </si>
  <si>
    <t>pas assaisonne</t>
  </si>
  <si>
    <t>Tu as vu un manque d'assaisonnement.</t>
  </si>
  <si>
    <t>Faire proposer épices, herbes, acidité.</t>
  </si>
  <si>
    <t>bien assaisonne</t>
  </si>
  <si>
    <t>Tu as repéré un point positif de goût.</t>
  </si>
  <si>
    <t>Faire relier à acceptation.</t>
  </si>
  <si>
    <t>Textes terrain CFA à copier en C4</t>
  </si>
  <si>
    <t>Déclencheurs attendus</t>
  </si>
  <si>
    <t>Pourquoi ce test est utile</t>
  </si>
  <si>
    <t>Tu as parlé d'assaisonnement.</t>
  </si>
  <si>
    <t>Faire préciser manque ou réussite.</t>
  </si>
  <si>
    <t>Le plat était trop sec, il fallait plus de sauce.</t>
  </si>
  <si>
    <t>sec / sauce / plus de sauce</t>
  </si>
  <si>
    <t>Phrase courte CFA : texture + correction.</t>
  </si>
  <si>
    <t>epices</t>
  </si>
  <si>
    <t>Tu as cité les épices.</t>
  </si>
  <si>
    <t>Faire préciser dosage et public.</t>
  </si>
  <si>
    <t>Le tofu ça a pas de gout sans marinade.</t>
  </si>
  <si>
    <t>tofu / pas de gout / marinade / soja</t>
  </si>
  <si>
    <t>Langage oral + faute d'accent.</t>
  </si>
  <si>
    <t>herbes</t>
  </si>
  <si>
    <t>Tu as cité les herbes.</t>
  </si>
  <si>
    <t>Faire relier couleur, odeur, goût.</t>
  </si>
  <si>
    <t>Les élèves ont pas aimé, y avait trop de reste.</t>
  </si>
  <si>
    <t>ont pas aime / trop de reste / gaspillage</t>
  </si>
  <si>
    <t>Acceptabilité + gaspillage réel.</t>
  </si>
  <si>
    <t>Tu as cité le sel.</t>
  </si>
  <si>
    <t>Attention à ne pas réduire le goût au sel.</t>
  </si>
  <si>
    <t>Les lentilles étaient trop cuites et ça faisait purée.</t>
  </si>
  <si>
    <t>lentilles / trop cuite / puree</t>
  </si>
  <si>
    <t>Cuisson + texture.</t>
  </si>
  <si>
    <t>Tu as repéré le gaspillage.</t>
  </si>
  <si>
    <t>Faire chercher cause et action.</t>
  </si>
  <si>
    <t>Il faut expliquer le plat au self sinon personne goûte.</t>
  </si>
  <si>
    <t>expliquer / self / personne</t>
  </si>
  <si>
    <t>Communication service.</t>
  </si>
  <si>
    <t>trop de reste</t>
  </si>
  <si>
    <t>Tu as repéré des restes.</t>
  </si>
  <si>
    <t>Faire distinguer reste cuisine et assiette.</t>
  </si>
  <si>
    <t>Le seitan contient du gluten, il faut une alternative.</t>
  </si>
  <si>
    <t>seitan / gluten / alternative</t>
  </si>
  <si>
    <t>Allergène prioritaire.</t>
  </si>
  <si>
    <t>trop de restes</t>
  </si>
  <si>
    <t>Les pois chiches avec du riz et une sauce tomate passent mieux.</t>
  </si>
  <si>
    <t>pois chiches / riz / sauce</t>
  </si>
  <si>
    <t>Plat connu + sauce.</t>
  </si>
  <si>
    <t>reste dans les assiettes</t>
  </si>
  <si>
    <t>Tu as repéré le retour assiette.</t>
  </si>
  <si>
    <t>Relier à acceptabilité.</t>
  </si>
  <si>
    <t>La galette végétale se casse dans l'assiette.</t>
  </si>
  <si>
    <t>galette / se casse / texture</t>
  </si>
  <si>
    <t>Problème de tenue.</t>
  </si>
  <si>
    <t>restes dans les assiettes</t>
  </si>
  <si>
    <t>Le plat coûte moins cher mais s'il part à la poubelle ce n'est pas rentable.</t>
  </si>
  <si>
    <t>cout / poubelle / gaspillage</t>
  </si>
  <si>
    <t>Économie réelle.</t>
  </si>
  <si>
    <t>poubelle</t>
  </si>
  <si>
    <t>Tu as vu une conséquence de gaspillage.</t>
  </si>
  <si>
    <t>Faire transformer en action.</t>
  </si>
  <si>
    <t>Il faut varier : lentilles, haricots rouges, pois cassés et tofu.</t>
  </si>
  <si>
    <t>varier / lentilles / haricots rouges / pois casses / tofu</t>
  </si>
  <si>
    <t>Diversité des sources.</t>
  </si>
  <si>
    <t>jette</t>
  </si>
  <si>
    <t>Tu as repéré une perte.</t>
  </si>
  <si>
    <t>Faire préciser pourquoi.</t>
  </si>
  <si>
    <t>pas mange</t>
  </si>
  <si>
    <t>Tu as repéré que le plat n'est pas consommé.</t>
  </si>
  <si>
    <t>Faire chercher goût, sauce, texture.</t>
  </si>
  <si>
    <t>presque rien mange</t>
  </si>
  <si>
    <t>Tu as repéré une forte non-consommation.</t>
  </si>
  <si>
    <t>Faire analyser les causes.</t>
  </si>
  <si>
    <t>pas aime</t>
  </si>
  <si>
    <t>Tu as repéré un refus des convives.</t>
  </si>
  <si>
    <t>Faire préciser la cause.</t>
  </si>
  <si>
    <t>ont pas aime</t>
  </si>
  <si>
    <t>Tu as repéré un refus collectif.</t>
  </si>
  <si>
    <t>Faire distinguer texture, goût, présentation.</t>
  </si>
  <si>
    <t>personne a mange</t>
  </si>
  <si>
    <t>Tu as repéré un rejet fort.</t>
  </si>
  <si>
    <t>Faire chercher un plan correctif.</t>
  </si>
  <si>
    <t>refus</t>
  </si>
  <si>
    <t>Tu as repéré le refus.</t>
  </si>
  <si>
    <t>Faire préciser public et cause.</t>
  </si>
  <si>
    <t>rejet</t>
  </si>
  <si>
    <t>Tu as repéré le rejet.</t>
  </si>
  <si>
    <t>Faire proposer test ou dégustation.</t>
  </si>
  <si>
    <t>donne pas envie</t>
  </si>
  <si>
    <t>Tu as repéré un problème d'envie.</t>
  </si>
  <si>
    <t>Relier au nom, couleur, présentation.</t>
  </si>
  <si>
    <t>envie</t>
  </si>
  <si>
    <t>Tu as parlé de l'envie de goûter.</t>
  </si>
  <si>
    <t>Faire préciser positif ou négatif.</t>
  </si>
  <si>
    <t>Tu as parlé de satisfaction.</t>
  </si>
  <si>
    <t>Faire demander mesure ou retour.</t>
  </si>
  <si>
    <t>pas explique</t>
  </si>
  <si>
    <t>Tu as repéré un problème d'explication.</t>
  </si>
  <si>
    <t>Faire travailler une phrase au self.</t>
  </si>
  <si>
    <t>pas expliquer</t>
  </si>
  <si>
    <t>Tu as repéré l'idée malgré une faute.</t>
  </si>
  <si>
    <t>Valoriser et reformuler.</t>
  </si>
  <si>
    <t>on sait pas</t>
  </si>
  <si>
    <t>Tu as vu que le plat n'est pas compris.</t>
  </si>
  <si>
    <t>Faire citer les ingrédients.</t>
  </si>
  <si>
    <t>expliquer</t>
  </si>
  <si>
    <t>Tu as pensé à expliquer le plat.</t>
  </si>
  <si>
    <t>Faire préciser où et comment.</t>
  </si>
  <si>
    <t>self</t>
  </si>
  <si>
    <t>Tu as situé le service.</t>
  </si>
  <si>
    <t>Faire relier à communication convive.</t>
  </si>
  <si>
    <t>Tu as compris que le nom compte.</t>
  </si>
  <si>
    <t>Faire proposer un nom appétissant.</t>
  </si>
  <si>
    <t>annonce</t>
  </si>
  <si>
    <t>Tu as parlé de l'annonce.</t>
  </si>
  <si>
    <t>Faire la rendre positive et simple.</t>
  </si>
  <si>
    <t>affiche</t>
  </si>
  <si>
    <t>Tu as parlé d'affichage.</t>
  </si>
  <si>
    <t>Faire distinguer menu et allergènes.</t>
  </si>
  <si>
    <t>presenter</t>
  </si>
  <si>
    <t>Tu as pensé à la présentation.</t>
  </si>
  <si>
    <t>Faire préciser sans culpabiliser.</t>
  </si>
  <si>
    <t>VIGILANCE</t>
  </si>
  <si>
    <t>Tu as repéré l'allergène gluten.</t>
  </si>
  <si>
    <t>Exiger affichage et alternative.</t>
  </si>
  <si>
    <t>Tu as cité le seitan.</t>
  </si>
  <si>
    <t>Rappeler gluten obligatoire.</t>
  </si>
  <si>
    <t>Tu as repéré le soja.</t>
  </si>
  <si>
    <t>Vérifier tofu, PST, sauce soja.</t>
  </si>
  <si>
    <t>Tu as cité le tofu.</t>
  </si>
  <si>
    <t>Rappeler allergène soja.</t>
  </si>
  <si>
    <t>Tu as repéré le lupin.</t>
  </si>
  <si>
    <t>Affichage allergène obligatoire.</t>
  </si>
  <si>
    <t>Tu as repéré le lait.</t>
  </si>
  <si>
    <t>Vérifier fromage, yaourt, béchamel.</t>
  </si>
  <si>
    <t>fromage</t>
  </si>
  <si>
    <t>Tu as cité le fromage.</t>
  </si>
  <si>
    <t>Rappeler allergène lait.</t>
  </si>
  <si>
    <t>sesame</t>
  </si>
  <si>
    <t>Tu as repéré le sésame.</t>
  </si>
  <si>
    <t>Vérifier houmous/tahini.</t>
  </si>
  <si>
    <t>fruits a coque</t>
  </si>
  <si>
    <t>Tu as repéré les fruits à coque.</t>
  </si>
  <si>
    <t>Alternative et affichage obligatoires.</t>
  </si>
  <si>
    <t>allergene</t>
  </si>
  <si>
    <t>Tu as pensé aux allergènes.</t>
  </si>
  <si>
    <t>Faire citer lesquels.</t>
  </si>
  <si>
    <t>Tu as pensé à une alternative.</t>
  </si>
  <si>
    <t>Vérifier qu'elle est réaliste.</t>
  </si>
  <si>
    <t>Tu as cité les lentilles.</t>
  </si>
  <si>
    <t>Éviter de ne citer que cette source.</t>
  </si>
  <si>
    <t>Tu as cité la lentille.</t>
  </si>
  <si>
    <t>Élargir à d'autres légumineuses.</t>
  </si>
  <si>
    <t>Tu as cité les pois chiches.</t>
  </si>
  <si>
    <t>Faire préciser recette et sauce.</t>
  </si>
  <si>
    <t>Tu as cité le pois chiche.</t>
  </si>
  <si>
    <t>Tu as cité les haricots rouges.</t>
  </si>
  <si>
    <t>Relier à chili, riz, sauce.</t>
  </si>
  <si>
    <t>haricots blancs</t>
  </si>
  <si>
    <t>Tu as cité les haricots blancs.</t>
  </si>
  <si>
    <t>Surveiller moelleux au réchauffage.</t>
  </si>
  <si>
    <t>Tu as cité les haricots.</t>
  </si>
  <si>
    <t>Faire préciser variété.</t>
  </si>
  <si>
    <t>pois casses</t>
  </si>
  <si>
    <t>Tu as cité les pois cassés.</t>
  </si>
  <si>
    <t>Surveiller texture farineuse.</t>
  </si>
  <si>
    <t>Tu as cité les fèves.</t>
  </si>
  <si>
    <t>Faire préciser disponibilité et coût.</t>
  </si>
  <si>
    <t>Tu as cité le tempeh.</t>
  </si>
  <si>
    <t>Tester goût fort avant généralisation.</t>
  </si>
  <si>
    <t>Tu as cité le quinoa.</t>
  </si>
  <si>
    <t>Surveiller coût portion.</t>
  </si>
  <si>
    <t>Tu as cité le sarrasin.</t>
  </si>
  <si>
    <t>Goût typé à tester.</t>
  </si>
  <si>
    <t>Tu as cité une légumineuse.</t>
  </si>
  <si>
    <t>Faire préciser laquelle.</t>
  </si>
  <si>
    <t>Tu as cité les légumineuses.</t>
  </si>
  <si>
    <t>Demander diversité sur cycle.</t>
  </si>
  <si>
    <t>Tu as repéré le coût.</t>
  </si>
  <si>
    <t>Faire intégrer pertes et main-d'œuvre.</t>
  </si>
  <si>
    <t>Tu as parlé du prix.</t>
  </si>
  <si>
    <t>Ne pas se limiter au prix matière.</t>
  </si>
  <si>
    <t>Tu as parlé budget.</t>
  </si>
  <si>
    <t>Relier au coût portion réel.</t>
  </si>
  <si>
    <t>economique</t>
  </si>
  <si>
    <t>Tu as parlé d'économie.</t>
  </si>
  <si>
    <t>Vérifier avec gaspillage.</t>
  </si>
  <si>
    <t>portion</t>
  </si>
  <si>
    <t>Tu as parlé portion.</t>
  </si>
  <si>
    <t>Relier à grammage et restes.</t>
  </si>
  <si>
    <t>pertes</t>
  </si>
  <si>
    <t>Tu as cité les pertes.</t>
  </si>
  <si>
    <t>Bonne lecture gestionnaire.</t>
  </si>
  <si>
    <t>temps de preparation</t>
  </si>
  <si>
    <t>Tu as cité le temps de préparation.</t>
  </si>
  <si>
    <t>Intégrer dans coût réel.</t>
  </si>
  <si>
    <t>main d oeuvre</t>
  </si>
  <si>
    <t>Tu as cité la main-d'œuvre.</t>
  </si>
  <si>
    <t>Très utile pour coût réel.</t>
  </si>
  <si>
    <t>maintien au chaud</t>
  </si>
  <si>
    <t>Tu as cité le maintien au chaud.</t>
  </si>
  <si>
    <t>Relier à sauce et texture.</t>
  </si>
  <si>
    <t>Tu as cité la tenue au chaud.</t>
  </si>
  <si>
    <t>cuisson</t>
  </si>
  <si>
    <t>Tu as parlé cuisson.</t>
  </si>
  <si>
    <t>Faire préciser trop ou pas assez.</t>
  </si>
  <si>
    <t>rechauffage</t>
  </si>
  <si>
    <t>Tu as parlé réchauffage.</t>
  </si>
  <si>
    <t>Surveiller dessèchement.</t>
  </si>
  <si>
    <t>refroidissement</t>
  </si>
  <si>
    <t>Tu as parlé refroidissement.</t>
  </si>
  <si>
    <t>Relier à sécurité et qualité.</t>
  </si>
  <si>
    <t>trempage</t>
  </si>
  <si>
    <t>Tu as parlé trempage.</t>
  </si>
  <si>
    <t>Relier organisation production.</t>
  </si>
  <si>
    <t>service</t>
  </si>
  <si>
    <t>Tu as parlé service.</t>
  </si>
  <si>
    <t>Faire préciser moment et cause.</t>
  </si>
  <si>
    <t>temperature</t>
  </si>
  <si>
    <t>Tu as parlé température.</t>
  </si>
  <si>
    <t>Faire vérifier avant envoi.</t>
  </si>
  <si>
    <t>Tu as parlé protéine.</t>
  </si>
  <si>
    <t>Faire préciser source réelle.</t>
  </si>
  <si>
    <t>Tu as parlé protéines.</t>
  </si>
  <si>
    <t>repas complet</t>
  </si>
  <si>
    <t>Tu as parlé repas complet.</t>
  </si>
  <si>
    <t>Faire vérifier légumineuse + céréale + légumes.</t>
  </si>
  <si>
    <t>Tu as parlé équilibre.</t>
  </si>
  <si>
    <t>Faire détailler l'équilibre.</t>
  </si>
  <si>
    <t>Tu as cité les fibres.</t>
  </si>
  <si>
    <t>Surveiller tolérance digestive.</t>
  </si>
  <si>
    <t>Tu as cité le fer.</t>
  </si>
  <si>
    <t>Faire relier nutrition.</t>
  </si>
  <si>
    <t>legumes</t>
  </si>
  <si>
    <t>Tu as cité les légumes.</t>
  </si>
  <si>
    <t>Faire préciser garniture.</t>
  </si>
  <si>
    <t>legume</t>
  </si>
  <si>
    <t>Tu as cité le légume.</t>
  </si>
  <si>
    <t>Tu as cité la céréale.</t>
  </si>
  <si>
    <t>Relier à complémentarité.</t>
  </si>
  <si>
    <t>Tu as parlé végétal.</t>
  </si>
  <si>
    <t>Faire préciser source protéique.</t>
  </si>
  <si>
    <t>Tu as parlé végétarien.</t>
  </si>
  <si>
    <t>Ne pas réduire à sans viande.</t>
  </si>
  <si>
    <t>Tu as cité le tofu comme source végétale.</t>
  </si>
  <si>
    <t>Relier au soja et à l'assaisonnement.</t>
  </si>
  <si>
    <t>Tu as cité le soja comme source végétale.</t>
  </si>
  <si>
    <t>Vérifier allergène et recette.</t>
  </si>
  <si>
    <t>Tu as cité le seitan comme source végétale.</t>
  </si>
  <si>
    <t>Tu as cité le lupin comme source végétale.</t>
  </si>
  <si>
    <t>Rappeler allergène lupin.</t>
  </si>
  <si>
    <t>proteines de soja</t>
  </si>
  <si>
    <t>Tu as cité les protéines de soja.</t>
  </si>
  <si>
    <t>Vérifier réhydratation et allergène.</t>
  </si>
  <si>
    <t>Tu as cité les protéines de soja texturées.</t>
  </si>
  <si>
    <t>Vérifier goût, réhydratation, allergène soja.</t>
  </si>
  <si>
    <t>Tu as parlé de plat végétal.</t>
  </si>
  <si>
    <t>Faire préciser les ingrédients.</t>
  </si>
  <si>
    <t>personne goute</t>
  </si>
  <si>
    <t>Tu as repéré un refus de goûter.</t>
  </si>
  <si>
    <t>Travailler nom du plat et présentation.</t>
  </si>
  <si>
    <t>pas voulu gouter</t>
  </si>
  <si>
    <t>Chercher cause et communication.</t>
  </si>
  <si>
    <t>trop epais</t>
  </si>
  <si>
    <t>Tu as repéré une texture trop épaisse.</t>
  </si>
  <si>
    <t>Relier à attente et sauce.</t>
  </si>
  <si>
    <t>sans sauce</t>
  </si>
  <si>
    <t>Tu as repéré l'absence de sauce.</t>
  </si>
  <si>
    <t>Faire proposer marinade ou sauce.</t>
  </si>
  <si>
    <t>pas bon</t>
  </si>
  <si>
    <t>Tu as repéré un rejet gustatif simple.</t>
  </si>
  <si>
    <t>Greffon ajouté à partir de la colonne I.</t>
  </si>
  <si>
    <t xml:space="preserve"> moteur bilingue langage : professionnel et langage terrain CFA  Organisation ajoutée</t>
  </si>
  <si>
    <t>fautes probables : pas asser de sauce, pas expliquer, a pas de gout ;</t>
  </si>
  <si>
    <t>CFA simple</t>
  </si>
  <si>
    <t>sec / sauce</t>
  </si>
  <si>
    <t>Problème texture + correction sauce</t>
  </si>
  <si>
    <t>Le tofu n’avait pas beaucoup de goût.</t>
  </si>
  <si>
    <t>tofu / goût</t>
  </si>
  <si>
    <t>Protéine végétale + goût faible</t>
  </si>
  <si>
    <t>Il y avait trop de restes dans les assiettes.</t>
  </si>
  <si>
    <t>restes / assiettes / gaspillage</t>
  </si>
  <si>
    <t>Gaspillage convives</t>
  </si>
  <si>
    <t>Le seitan contient du gluten, il faut le dire aux élèves.</t>
  </si>
  <si>
    <t>seitan / gluten</t>
  </si>
  <si>
    <t>Allergène gluten à signaler</t>
  </si>
  <si>
    <t>On n’a pas expliqué le plat, donc personne ne voulait goûter.</t>
  </si>
  <si>
    <t>pas expliqué / goûter / personne</t>
  </si>
  <si>
    <t>Communication faible + acceptabilité</t>
  </si>
  <si>
    <t>Sauce</t>
  </si>
  <si>
    <t>La sauce était trop courte et les lentilles étaient sèches.</t>
  </si>
  <si>
    <t>sauce courte / lentilles / sèches</t>
  </si>
  <si>
    <t>Sauce insuffisante + texture sèche</t>
  </si>
  <si>
    <t>Les pois cassés faisaient trop purée, ce n’était pas agréable.</t>
  </si>
  <si>
    <t>pois cassés / purée / texture</t>
  </si>
  <si>
    <t>Texture mal maîtrisée</t>
  </si>
  <si>
    <t>Les élèves n’ont pas aimé le plat végétal.</t>
  </si>
  <si>
    <t>élèves / pas aimé / végétal</t>
  </si>
  <si>
    <t>Acceptabilité faible</t>
  </si>
  <si>
    <t>Le plat était fade, il manquait des épices.</t>
  </si>
  <si>
    <t>fade / épices</t>
  </si>
  <si>
    <t>Goût faible + correction assaisonnement</t>
  </si>
  <si>
    <t>Protéine</t>
  </si>
  <si>
    <t>Les pois chiches avec du riz et de la sauce, ça passe mieux.</t>
  </si>
  <si>
    <t>Association légumineuse + céréale + sauce</t>
  </si>
  <si>
    <t>CFA terrain</t>
  </si>
  <si>
    <t>Le chili aux haricots rouges était bon mais un peu pâteux.</t>
  </si>
  <si>
    <t>chili / haricots rouges / pâteux</t>
  </si>
  <si>
    <t>Texture à améliorer</t>
  </si>
  <si>
    <t>Le plat coûtait moins cher, mais si tout part à la poubelle ce n’est pas rentable.</t>
  </si>
  <si>
    <t>coût / poubelle / gaspillage</t>
  </si>
  <si>
    <t>Coût réel impacté par gaspillage</t>
  </si>
  <si>
    <t>Il faudrait dire curry de pois chiches au lieu de juste plat végétal.</t>
  </si>
  <si>
    <t>curry / pois chiches / plat végétal</t>
  </si>
  <si>
    <t>Nom du plat plus vendeur</t>
  </si>
  <si>
    <t>Après une heure au chaud, le plat était devenu épais et sec.</t>
  </si>
  <si>
    <t>au chaud / épais / sec</t>
  </si>
  <si>
    <t>Tenue au chaud défavorable</t>
  </si>
  <si>
    <t>Le tofu doit être mariné sinon il n’a pas assez de goût.</t>
  </si>
  <si>
    <t>tofu / mariné / goût</t>
  </si>
  <si>
    <t>Marinade nécessaire</t>
  </si>
  <si>
    <t>Si on met de la sauce soja, il faut noter l’allergène soja.</t>
  </si>
  <si>
    <t>sauce soja / allergène / soja</t>
  </si>
  <si>
    <t>Affichage allergène soja</t>
  </si>
  <si>
    <t>Les portions étaient trop grosses, beaucoup d’élèves ont jeté.</t>
  </si>
  <si>
    <t>portions / grosses / jeté</t>
  </si>
  <si>
    <t>Portionnement + gaspillage</t>
  </si>
  <si>
    <t>Recette connue</t>
  </si>
  <si>
    <t>La bolognaise avec des lentilles peut marcher si on garde une bonne sauce tomate.</t>
  </si>
  <si>
    <t>bolognaise / lentilles / sauce tomate</t>
  </si>
  <si>
    <t>Substitution partielle acceptable</t>
  </si>
  <si>
    <t>La galette végétale se cassait dans l’assiette.</t>
  </si>
  <si>
    <t>galette végétale / cassait</t>
  </si>
  <si>
    <t>Texture / tenue produit</t>
  </si>
  <si>
    <t>Les lentilles avec du blé ou du riz font un repas plus complet.</t>
  </si>
  <si>
    <t>lentilles / blé / riz / repas complet</t>
  </si>
  <si>
    <t>Association nutritionnelle</t>
  </si>
  <si>
    <t>Les haricots blancs étaient bons mais trop secs après le service.</t>
  </si>
  <si>
    <t>haricots blancs / secs / service</t>
  </si>
  <si>
    <t>Maintien qualité insuffisant</t>
  </si>
  <si>
    <t>Le plat végétal était correct, mais il ne donnait pas envie.</t>
  </si>
  <si>
    <t>végétal / pas envie</t>
  </si>
  <si>
    <t>Présentation / acceptabilité faible</t>
  </si>
  <si>
    <t>Couleur</t>
  </si>
  <si>
    <t>La couleur du plat était triste, ça ne donnait pas envie de goûter.</t>
  </si>
  <si>
    <t>couleur / triste / goûter</t>
  </si>
  <si>
    <t>Aspect visuel défavorable</t>
  </si>
  <si>
    <t>Avec plus d’herbes et un peu d’épices, le plat serait meilleur.</t>
  </si>
  <si>
    <t>herbes / épices / meilleur</t>
  </si>
  <si>
    <t>Correction goût</t>
  </si>
  <si>
    <t>Alternative</t>
  </si>
  <si>
    <t>Il ne faut pas juste enlever la viande, il faut faire une vraie recette.</t>
  </si>
  <si>
    <t>enlever la viande / vraie recette</t>
  </si>
  <si>
    <t>Substitution mal pensée</t>
  </si>
  <si>
    <t>Diversité</t>
  </si>
  <si>
    <t>On ne peut pas mettre des lentilles toutes les semaines, il faut varier.</t>
  </si>
  <si>
    <t>lentilles / varier</t>
  </si>
  <si>
    <t>Diversité du cycle</t>
  </si>
  <si>
    <t>Le lupin doit être marqué sur l’affiche si la recette en contient.</t>
  </si>
  <si>
    <t>lupin / affiche / allergène</t>
  </si>
  <si>
    <t>Allergène lupin</t>
  </si>
  <si>
    <t>Les lentilles étaient trop cuites, ça faisait une pâte.</t>
  </si>
  <si>
    <t>lentilles / trop cuites / pâte</t>
  </si>
  <si>
    <t>Surcuisson</t>
  </si>
  <si>
    <t>Le goût fumé va bien avec les haricots rouges.</t>
  </si>
  <si>
    <t>goût fumé / haricots rouges</t>
  </si>
  <si>
    <t>Amélioration gustative</t>
  </si>
  <si>
    <t>Les élèves ont mieux mangé la version avec sauce.</t>
  </si>
  <si>
    <t>élèves / mieux mangé / sauce</t>
  </si>
  <si>
    <t>Sauce améliore acceptabilité</t>
  </si>
  <si>
    <t>CFA faute</t>
  </si>
  <si>
    <t>Orthographe</t>
  </si>
  <si>
    <t>Le plat été trop sec et les eleves on pas aimé.</t>
  </si>
  <si>
    <t>sec / eleves / pas aimé</t>
  </si>
  <si>
    <t>Réponse fautive mais exploitable</t>
  </si>
  <si>
    <t>Le tofu sa a pas de gout sans sauce.</t>
  </si>
  <si>
    <t>tofu / pas de gout / sauce</t>
  </si>
  <si>
    <t>Goût faible + sauce nécessaire</t>
  </si>
  <si>
    <t>Les lentille etait trop cuite.</t>
  </si>
  <si>
    <t>lentille / trop cuite</t>
  </si>
  <si>
    <t>Surcuisson malgré fautes</t>
  </si>
  <si>
    <t>Il faut mètre plus de sauce avec les pois chiche.</t>
  </si>
  <si>
    <t>plus de sauce / pois chiche</t>
  </si>
  <si>
    <t>Correction sauce</t>
  </si>
  <si>
    <t>Le plat végétale etait pas expliquer au self.</t>
  </si>
  <si>
    <t>végétale / pas expliquer / self</t>
  </si>
  <si>
    <t>Communication faible</t>
  </si>
  <si>
    <t>Y avait trop de reste dans les assiettes.</t>
  </si>
  <si>
    <t>reste / assiettes</t>
  </si>
  <si>
    <t>Les haricot rouge était bon mais un peut sec.</t>
  </si>
  <si>
    <t>haricot rouge / bon / sec</t>
  </si>
  <si>
    <t>Protéine + texture sèche</t>
  </si>
  <si>
    <t>Le seitan ya du gluten donc attention.</t>
  </si>
  <si>
    <t>seitan / gluten / attention</t>
  </si>
  <si>
    <t>Allergène gluten</t>
  </si>
  <si>
    <t>Le soja faut le marqué sur l’affiche.</t>
  </si>
  <si>
    <t>soja / marqué / affiche</t>
  </si>
  <si>
    <t>Allergène soja</t>
  </si>
  <si>
    <t>Les élèves voulais pas gouter car il savait pas c’était quoi.</t>
  </si>
  <si>
    <t>élèves / pas gouter / pas savoir</t>
  </si>
  <si>
    <t>Communication + rejet</t>
  </si>
  <si>
    <t>CFA court</t>
  </si>
  <si>
    <t>Plat sec, pas assez de sauce.</t>
  </si>
  <si>
    <t>sec / pas assez de sauce</t>
  </si>
  <si>
    <t>Détection courte</t>
  </si>
  <si>
    <t>Tofu fade.</t>
  </si>
  <si>
    <t>tofu / fade</t>
  </si>
  <si>
    <t>Trop de restes.</t>
  </si>
  <si>
    <t>Gaspillage simple</t>
  </si>
  <si>
    <t>Seitan égale gluten.</t>
  </si>
  <si>
    <t>Allergène simple</t>
  </si>
  <si>
    <t>Plat pas expliqué.</t>
  </si>
  <si>
    <t>pas expliqué</t>
  </si>
  <si>
    <t>Communication simple</t>
  </si>
  <si>
    <t>Personne a aimé.</t>
  </si>
  <si>
    <t>personne / aimé</t>
  </si>
  <si>
    <t>Acceptabilité négative</t>
  </si>
  <si>
    <t>Trop longtemps au chaud.</t>
  </si>
  <si>
    <t>longtemps / chaud</t>
  </si>
  <si>
    <t>Tenue au chaud</t>
  </si>
  <si>
    <t>Manque de sauce.</t>
  </si>
  <si>
    <t>Trop pâteux.</t>
  </si>
  <si>
    <t>pâteux</t>
  </si>
  <si>
    <t>Texture négative</t>
  </si>
  <si>
    <t>Pas assez assaisonné.</t>
  </si>
  <si>
    <t>pas assez assaisonné</t>
  </si>
  <si>
    <t>Assaisonnement faible</t>
  </si>
  <si>
    <t>CFA complet</t>
  </si>
  <si>
    <t>Analyse simple</t>
  </si>
  <si>
    <t>Le plat aux lentilles était sec, les élèves ont peu mangé et il faudrait ajouter une sauce plus longue.</t>
  </si>
  <si>
    <t>lentilles / sec / peu mangé / sauce</t>
  </si>
  <si>
    <t>Constat + conséquence + correction</t>
  </si>
  <si>
    <t>Le curry de pois chiches était meilleur que la salade froide parce qu’il y avait plus de sauce et de goût.</t>
  </si>
  <si>
    <t>curry / pois chiches / sauce / goût</t>
  </si>
  <si>
    <t>Comparaison utile</t>
  </si>
  <si>
    <t>La recette végétale peut marcher si elle ressemble à un plat connu comme chili, couscous ou bolognaise.</t>
  </si>
  <si>
    <t>végétale / chili / couscous / bolognaise</t>
  </si>
  <si>
    <t>Acceptabilité par plat connu</t>
  </si>
  <si>
    <t>Il faut tester le plat avant de le mettre souvent au menu, sinon on risque d’avoir beaucoup de gaspillage.</t>
  </si>
  <si>
    <t>tester / menu / gaspillage</t>
  </si>
  <si>
    <t>Test avant généralisation</t>
  </si>
  <si>
    <t>Le coût matière est bas avec les lentilles, mais il faut compter le temps de préparation et les restes.</t>
  </si>
  <si>
    <t>coût / lentilles / temps / restes</t>
  </si>
  <si>
    <t>Coût réel</t>
  </si>
  <si>
    <t>Les pois chiches avec semoule et légumes font un plat complet, mais il faut vérifier le gluten dans la semoule.</t>
  </si>
  <si>
    <t>pois chiches / semoule / légumes / gluten</t>
  </si>
  <si>
    <t>Nutrition + allergène</t>
  </si>
  <si>
    <t>Le tofu peut être bon si on le fait mariner et si on le sert avec une sauce bien assaisonnée.</t>
  </si>
  <si>
    <t>tofu / mariner / sauce / assaisonnée</t>
  </si>
  <si>
    <t>Correction culinaire</t>
  </si>
  <si>
    <t>Le plat végétal ne doit pas être présenté comme une punition, sinon les élèves le refusent avant de goûter.</t>
  </si>
  <si>
    <t>végétal / punition / refusent / goûter</t>
  </si>
  <si>
    <t>Communication / rejet</t>
  </si>
  <si>
    <t>Une portion plus petite au début peut limiter le gaspillage et laisser les élèves en reprendre s’ils aiment.</t>
  </si>
  <si>
    <t>portion / gaspillage / reprendre</t>
  </si>
  <si>
    <t>Portionnement intelligent</t>
  </si>
  <si>
    <t>Les haricots rouges et le riz peuvent remplacer une partie de la viande si la sauce est bonne.</t>
  </si>
  <si>
    <t>haricots rouges / riz / remplacer / viande / sauce</t>
  </si>
  <si>
    <t>Substitution partielle</t>
  </si>
  <si>
    <t>CFA piège</t>
  </si>
  <si>
    <t>Négation</t>
  </si>
  <si>
    <t>Le plat n’était pas bon, même avec la sauce.</t>
  </si>
  <si>
    <t>pas bon / sauce</t>
  </si>
  <si>
    <t>Négatif malgré mot bon</t>
  </si>
  <si>
    <t>Les élèves n’ont pas aimé le tofu.</t>
  </si>
  <si>
    <t>pas aimé / tofu</t>
  </si>
  <si>
    <t>Négatif, ne pas lire aimé en positif</t>
  </si>
  <si>
    <t>Ce n’était pas assez assaisonné.</t>
  </si>
  <si>
    <t>Assaisonnement insuffisant</t>
  </si>
  <si>
    <t>Le plat n’était pas sec, mais il manquait de goût.</t>
  </si>
  <si>
    <t>pas sec / goût</t>
  </si>
  <si>
    <t>Ne pas pénaliser texture, détecter goût faible</t>
  </si>
  <si>
    <t>Le chili n’a pas été jeté, les élèves ont bien mangé.</t>
  </si>
  <si>
    <t>chili / pas jeté / bien mangé</t>
  </si>
  <si>
    <t>Acceptabilité positive</t>
  </si>
  <si>
    <t>CFA positif</t>
  </si>
  <si>
    <t>Les élèves ont bien aimé le curry de lentilles.</t>
  </si>
  <si>
    <t>bien aimé / curry / lentilles</t>
  </si>
  <si>
    <t>La sauce était bonne et le plat était moins sec.</t>
  </si>
  <si>
    <t>sauce / bonne / moins sec</t>
  </si>
  <si>
    <t>Correction positive</t>
  </si>
  <si>
    <t>Le plat a été bien expliqué au self et les élèves ont goûté.</t>
  </si>
  <si>
    <t>bien expliqué / self / goûté</t>
  </si>
  <si>
    <t>Communication positive</t>
  </si>
  <si>
    <t>On a varié avec pois chiches, lentilles et haricots rouges.</t>
  </si>
  <si>
    <t>varié / pois chiches / lentilles / haricots rouges</t>
  </si>
  <si>
    <t>Diversité protéines</t>
  </si>
  <si>
    <t>La bolognaise aux lentilles a bien marché parce que le plat était connu.</t>
  </si>
  <si>
    <t>bolognaise / lentilles / bien marché / connu</t>
  </si>
  <si>
    <t>Acceptabilité par repère connu</t>
  </si>
  <si>
    <t>CFA pro simple</t>
  </si>
  <si>
    <t>Il faut regarder le prix de la portion, mais aussi ce qui revient dans les assiettes.</t>
  </si>
  <si>
    <t>prix / portion / assiettes</t>
  </si>
  <si>
    <t>Coût + gaspillage</t>
  </si>
  <si>
    <t>Suivi</t>
  </si>
  <si>
    <t>On peut noter les restes pour savoir si la recette plaît vraiment.</t>
  </si>
  <si>
    <t>noter / restes / plaît</t>
  </si>
  <si>
    <t>Suivi satisfaction</t>
  </si>
  <si>
    <t>La recette doit tenir au chaud sans devenir sèche.</t>
  </si>
  <si>
    <t>tenir au chaud / sèche</t>
  </si>
  <si>
    <t>Si on change les ingrédients, il faut refaire les allergènes.</t>
  </si>
  <si>
    <t>change / ingrédients / allergènes</t>
  </si>
  <si>
    <t>Fiche allergène à jour</t>
  </si>
  <si>
    <t>Menu</t>
  </si>
  <si>
    <t>Il faut éviter de mettre deux plats végétaux secs la même semaine.</t>
  </si>
  <si>
    <t>éviter / plats végétaux / secs</t>
  </si>
  <si>
    <t>Cycle menu</t>
  </si>
  <si>
    <t>CFA oral</t>
  </si>
  <si>
    <t>Langage oral</t>
  </si>
  <si>
    <t>Franchement le plat aux pois chiches était pas mauvais mais il manquait un truc.</t>
  </si>
  <si>
    <t>pois chiches / pas mauvais / manquait</t>
  </si>
  <si>
    <t>Acceptabilité moyenne + amélioration</t>
  </si>
  <si>
    <t>Ça passait mieux avec la sauce tomate.</t>
  </si>
  <si>
    <t>passait mieux / sauce tomate</t>
  </si>
  <si>
    <t>Sauce améliore acceptation</t>
  </si>
  <si>
    <t>Le truc au soja, il faut le dire parce que certains peuvent pas en manger.</t>
  </si>
  <si>
    <t>soja / dire / peuvent pas manger</t>
  </si>
  <si>
    <t>Les lentilles toutes seules c’est lourd, avec du riz c’est mieux.</t>
  </si>
  <si>
    <t>lentilles / riz / mieux</t>
  </si>
  <si>
    <t>Association légumineuse-céréale</t>
  </si>
  <si>
    <t>Au self, si tu dis juste végétal, les élèves prennent pas forcément.</t>
  </si>
  <si>
    <t>self / végétal / prennent pas</t>
  </si>
  <si>
    <t>Communication insuffisante</t>
  </si>
  <si>
    <t>Niveau ►</t>
  </si>
  <si>
    <t>Pour le tofu, je choisirais du tofu ferme si on veut le poêler. Le tofu mou irait plutôt dans une sauce ou un dessert, et il faut penser à noter le soja.</t>
  </si>
  <si>
    <t>Pour améliorer le goût d’un plat végétal, je mettrais des épices douces, des herbes, un peu d’acidité et assez de sauce.</t>
  </si>
  <si>
    <t>Si les élèves refusent le plat végétal, ça peut venir du nom du plat, de la couleur pas appétissante ou parce qu’on ne voit pas bien la garniture.</t>
  </si>
  <si>
    <t>Même si un plat végétal est bon pour l’environnement, les élèves ne le mangeront pas s’il n’est pas bon ou mal préparé.</t>
  </si>
  <si>
    <t>Pour faire un plat végétal complet, il faut associer une légumineuse, une céréale, des légumes et un peu de matière grasse.</t>
  </si>
  <si>
    <t>Si on sert trop de lentilles ou trop de pois chiches, les élèves peuvent être gênés ou ne pas finir leur assiette.</t>
  </si>
  <si>
    <t>Les pois chiches locaux peuvent être intéressants, mais il faut prévoir le trempage, la cuisson et vérifier le rendement.</t>
  </si>
  <si>
    <t>La féverole locale peut être une bonne idée, mais il faut tester la texture, le goût et voir si les élèves acceptent.</t>
  </si>
  <si>
    <t>Un produit local n’est pas forcément meilleur si le prix est trop haut, si la qualité change ou si les élèves ne le mangent pas.</t>
  </si>
  <si>
    <t>Même si le prix d’achat est correct, il faut compter le temps de préparation, les pertes et ce qui revient dans les assiettes.</t>
  </si>
  <si>
    <t>Au self, il ne faut pas juste dire plat végétarien. Il faut expliquer simplement ce qu’il y a dedans et parler de la sauce.</t>
  </si>
  <si>
    <t>Un plat complet doit avoir une protéine végétale, une céréale, des légumes, des fibres et assez de goût.</t>
  </si>
  <si>
    <t>Si le plat est trop beige ou trop triste, on peut ajouter des herbes, des légumes colorés et une sauce visible.</t>
  </si>
  <si>
    <t>Si les portions de chili végétal sont trop grosses, il y aura plus de restes et le plat coûtera plus cher au final.</t>
  </si>
  <si>
    <t>Il faut garder les recettes végétales qui plaisent, qui ne font pas trop de gaspillage, qui coûtent correctement et qui sont claires côté allergènes.</t>
  </si>
  <si>
    <t>La bolognaise aux lentilles coûte moins cher, mais elle demande du temps et il faut renforcer le goût pour que les élèves aiment.</t>
  </si>
  <si>
    <t>Les agents de service doivent savoir présenter le plat végétal simplement, avec les ingrédients connus et la sauce.</t>
  </si>
  <si>
    <t>Mettre plus de légumineuses peut baisser le coût matière, mais il faut plus de travail et plus d’assaisonnement.</t>
  </si>
  <si>
    <t>Il faut présenter le plat végétal de façon positive, sans faire la morale et sans opposer ceux qui mangent de la viande aux autres.</t>
  </si>
  <si>
    <t>Avant d’acheter un produit végétal, il faut regarder le goût, les allergènes, le prix, le rendement et si c’est facile à cuisiner.</t>
  </si>
  <si>
    <t>Avant le service, il faut vérifier si la recette contient du soja, du lupin ou du gluten et prévoir une alternative.</t>
  </si>
  <si>
    <t>Le vrai coût d’un plat, ce n’est pas seulement le prix des ingrédients. Il faut aussi compter les pertes, la sauce et le gaspillage.</t>
  </si>
  <si>
    <t>Il faut faire attention au soja caché dans certaines sauces, bouillons ou protéines végétales.</t>
  </si>
  <si>
    <t>Sur la fiche, il faut vérifier les grammages, les allergènes, le rendement et comment le plat sera réchauffé.</t>
  </si>
  <si>
    <t>Avant d’envoyer le plat, il faut goûter, vérifier la température, la texture, la sauce et l’affichage des allergènes.</t>
  </si>
  <si>
    <t>Si les lentilles sont trop cuites, elles deviennent pâteuses et le plat est moins agréable.</t>
  </si>
  <si>
    <t>Même si le plat est équilibré, il peut être refusé si la couleur est triste, si la sauce ne se voit pas ou si le nom ne donne pas envie.</t>
  </si>
  <si>
    <t>Il faut chercher une texture agréable : pas trop sèche, pas farineuse, pas collante et pas granuleuse.</t>
  </si>
  <si>
    <t>Pour un banquet, il vaut mieux prévoir un plat végétal en sauce, qui supporte l’attente et qui reste facile à servir.</t>
  </si>
  <si>
    <t>En cuisine centrale, le dhal de lentilles corail peut devenir trop épais en barquette. Il faut prévoir assez de sauce.</t>
  </si>
  <si>
    <t>En EHPAD, il faut tester si les résidents arrivent à mâcher les légumineuses et si le plat passe bien.</t>
  </si>
  <si>
    <t>À l’hôpital, il faut adapter les plats végétaux aux régimes, aux textures modifiées et aux personnes qui digèrent mal les fibres.</t>
  </si>
  <si>
    <t>Pour les personnes âgées, il vaut mieux des textures fondantes, avec sauce, plutôt que des légumineuses entières trop sèches.</t>
  </si>
  <si>
    <t>On peut remplacer une partie de la viande petit à petit par des lentilles, des pois chiches ou des haricots, sans brusquer les élèves.</t>
  </si>
  <si>
    <t>Le plan est correct si on varie les recettes, mais il faut encore réduire le gaspillage et améliorer la sauce et la texture.</t>
  </si>
  <si>
    <t>Si les élèves ne reconnaissent pas le plat, si c’est mou et sans sauce, ils risquent de ne pas le prendre.</t>
  </si>
  <si>
    <t>Un steak végétal trop sec, trop cuit et sans sauce sera très peu mangé au self.</t>
  </si>
  <si>
    <t>Le houmous peut bien marcher avec des crudités et du pain, mais il faut faire attention au sésame et au gluten.</t>
  </si>
  <si>
    <t>Une salade de pois chiches et quinoa peut devenir fade après stockage, car la sauce est absorbée.</t>
  </si>
  <si>
    <t>Un cassoulet végétal aux haricots blancs peut marcher si la sauce tomate a du goût et si le plat reste moelleux.</t>
  </si>
  <si>
    <t>Les lentilles vertes tiennent bien en salade, mais il faut une bonne vinaigrette et des légumes croquants.</t>
  </si>
  <si>
    <t>Les pâtes de légumineuses apportent des protéines, mais elles coûtent plus cher et peuvent être fragiles à la cuisson.</t>
  </si>
  <si>
    <t>Les pois chiches rôtis sont bons au début, mais ils peuvent devenir mous s’ils attendent trop longtemps.</t>
  </si>
  <si>
    <t>Le haché végétal au soja doit être bien assaisonné, et il faut afficher l’allergène soja.</t>
  </si>
  <si>
    <t>Un wrap aux haricots rouges peut être bon avec une sauce épicée, mais il faut penser au gluten de la galette.</t>
  </si>
  <si>
    <t>Le tofu mariné avec une bonne sauce passe mieux, mais il faut signaler le soja.</t>
  </si>
  <si>
    <t>Pour que les élèves acceptent mieux les légumineuses, on peut ajouter une sauce tomate, des épices douces ou un peu de croustillant.</t>
  </si>
  <si>
    <t>Il faut regarder la couleur, l’odeur, le moelleux, la sauce, le goût et si les élèves comprennent le plat.</t>
  </si>
  <si>
    <t>Le seitan contient du gluten, donc il faut l’afficher clairement et prévoir autre chose pour ceux qui ne peuvent pas en manger.</t>
  </si>
  <si>
    <t>Les lasagnes végétales aux lentilles peuvent marcher si la sauce est bonne, si la portion est correcte et si les allergènes sont notés.</t>
  </si>
  <si>
    <t>Le tempeh a un goût fort, donc il faut le tester avant d’en mettre souvent au menu.</t>
  </si>
  <si>
    <t>En formation, on peut comparer le coût prévu et le coût réel après les pertes, la sauce ajoutée et les restes.</t>
  </si>
  <si>
    <t>Il faut expliquer les protéines végétales simplement : goût, équilibre, cuisson, sauce et allergènes.</t>
  </si>
  <si>
    <t>Si on utilise du lupin, il faut bien l’identifier, l’afficher et prévoir une alternative.</t>
  </si>
  <si>
    <t>On peut réutiliser des légumineuses cuites seulement si le refroidissement, la traçabilité et la qualité sont corrects.</t>
  </si>
  <si>
    <t>Les protéines végétales absorbent la sauce quand elles attendent au chaud, donc il faut prévoir plus de liquide.</t>
  </si>
  <si>
    <t>Si on remplace les pois chiches par des haricots blancs, il faut revoir la fiche, les allergènes et la texture.</t>
  </si>
  <si>
    <t>Les légumineuses sèches coûtent moins cher, mais il faut prévoir le trempage, la cuisson et l’organisation.</t>
  </si>
  <si>
    <t>Un couscous végétal peut bien passer car les élèves connaissent déjà le plat, mais il faut assez de légumes et de sauce.</t>
  </si>
  <si>
    <t>Une salade tiède de lentilles avec légumes peut être bonne, mais il faut vérifier les allergènes selon la sauce et les ingrédients.</t>
  </si>
  <si>
    <t>Pour une crèche, le plat végétal doit être doux, pas trop épicé, avec une texture adaptée et des allergènes bien contrôlés.</t>
  </si>
  <si>
    <t>On peut mettre un peu de lentilles dans un hachis pour réduire la viande sans changer trop le goût.</t>
  </si>
  <si>
    <t>En EHPAD, un parmentier aux lentilles corail doit être moelleux, facile à manger et pas trop riche en fibres.</t>
  </si>
  <si>
    <t>Une bolognaise moitié viande moitié lentilles peut aider les élèves à accepter progressivement les protéines végétales.</t>
  </si>
  <si>
    <t>Le plat végétal doit donner envie à tout le monde, pas seulement aux végétariens.</t>
  </si>
  <si>
    <t>Il ne faut pas enlever la viande d’un coup sans proposer une vraie recette claire et bien cuisinée.</t>
  </si>
  <si>
    <t>Pour éviter le soja, on peut utiliser lentilles, pois chiches, haricots ou pois cassés.</t>
  </si>
  <si>
    <t>Un curry de pois chiches avec riz, légumes et sauce peut être bien accepté si le nom du plat donne envie.</t>
  </si>
  <si>
    <t>Pour un menu sportif, il faut assez d’énergie, des légumineuses, des céréales, des légumes et une bonne digestibilité.</t>
  </si>
  <si>
    <t>Le quinoa et le sarrasin peuvent compléter une légumineuse, mais il faut vérifier le coût et si les élèves aiment.</t>
  </si>
  <si>
    <t>Il ne faut pas mettre deux plats végétaux secs dans la même semaine. Il vaut mieux varier avec gratin, soupe, mijoté ou plat en sauce.</t>
  </si>
  <si>
    <t>Il faut varier les lentilles, pois chiches, haricots, fèves et pois cassés pour éviter que les élèves se lassent.</t>
  </si>
  <si>
    <t>Il faut comparer les lentilles sèches, en boîte ou surgelées selon le prix, le temps de travail et la texture finale.</t>
  </si>
  <si>
    <t>Avec du soja ou du gluten, il faut éviter les mélanges avec d’autres plats et bien afficher les allergènes.</t>
  </si>
  <si>
    <t>Pour corriger un plat, on peut réduire la portion, améliorer la sauce, changer le nom et refaire un test.</t>
  </si>
  <si>
    <t>Si une recette végétale est sèche, il faut ajouter du liquide, une sauce ou un liant pour garder du moelleux.</t>
  </si>
  <si>
    <t>Pour améliorer le plan, il faut réduire le gaspillage, mettre plus de goût, plus de sauce et tester avec les élèves.</t>
  </si>
  <si>
    <t>Il faut prévoir plusieurs recettes de légumineuses dans la semaine, mais pas toujours la même couleur ni la même sauce.</t>
  </si>
  <si>
    <t>Avant de mettre une recette végétale sur tout le cycle, il faut vérifier le coût, le gaspillage, les allergènes et l’acceptation.</t>
  </si>
  <si>
    <t>Il vaut mieux choisir quelques recettes végétales qui marchent bien avant d’essayer des produits plus difficiles comme le tempeh ou le lupin.</t>
  </si>
  <si>
    <t>On peut faire goûter deux versions du même plat, une sèche et une avec sauce, pour voir ce qui passe mieux.</t>
  </si>
  <si>
    <t>Il faut alterner les formes : légumineuses entières, purées, boulettes, gratins, plats mijotés et plats en sauce.</t>
  </si>
  <si>
    <t>Des nouilles sautées au tofu peuvent être bonnes, mais il faut faire attention au soja, au gluten et au sel.</t>
  </si>
  <si>
    <t>Pois chiches, boulgour, carottes et sauce yaourt peuvent faire un plat complet, mais il faut noter le lait et le gluten.</t>
  </si>
  <si>
    <t>En EHPAD, un plat végétal doit être onctueux, facile à mâcher, avec assez de sauce et un goût clair.</t>
  </si>
  <si>
    <t>Il vaut mieux écrire curry doux de lentilles plutôt que plat végétal, car le nom donne plus envie.</t>
  </si>
  <si>
    <t>Le trempage des haricots doit être prévu à l’avance, avec rinçage, cuisson test et contrôle de la texture.</t>
  </si>
  <si>
    <t>En grande quantité, il faut remuer sans écraser les légumineuses et éviter qu’elles collent ou deviennent trop cuites.</t>
  </si>
  <si>
    <t>Les haricots blancs peuvent devenir secs au réchauffage, donc il faut une sauce plus longue.</t>
  </si>
  <si>
    <t>Un pâté végétal aux lentilles peut contenir des noix, donc il faut penser aux fruits à coque.</t>
  </si>
  <si>
    <t>Pour donner du goût aux protéines végétales, il faut travailler les herbes, les épices, l’acidité, la sauce et un peu de gras.</t>
  </si>
  <si>
    <t>Un gratin de haricots blancs peut être bon avec sauce tomate, mais la chapelure peut contenir du gluten.</t>
  </si>
  <si>
    <t>Une soupe épaisse aux haricots rouges peut coûter peu cher, mais il faut soigner la présentation.</t>
  </si>
  <si>
    <t>Un plat aux haricots rouges avec céréale, légumes et sauce peut faire un repas complet.</t>
  </si>
  <si>
    <t>Des boulettes de pois chiches peuvent être bonnes avec une sauce tomate, mais il faut éviter qu’elles soient sèches.</t>
  </si>
  <si>
    <t>Une purée de lentilles corail doit être lisse, avec du goût et une texture agréable.</t>
  </si>
  <si>
    <t>Des pois chiches mijotés avec légumes, cumin, tomate et semoule peuvent bien marcher si la sauce tient au chaud.</t>
  </si>
  <si>
    <t>Lentilles corail, tomate et riz coûtent peu cher, mais il faut ajouter du goût avec épices, herbes ou acidité.</t>
  </si>
  <si>
    <t>Une soupe de lentilles corail peut être complète, mais il faut vérifier le sel et ne pas trop la diluer.</t>
  </si>
  <si>
    <t>Le seitan a une texture ferme, mais il contient du gluten et doit plutôt être servi avec une sauce.</t>
  </si>
  <si>
    <t>On peut remplacer une partie de la viande par des lentilles dans une bolognaise si le goût reste proche.</t>
  </si>
  <si>
    <t>Un bowl avec lentilles, légumes, céréale, sauce et topping peut être attractif si les allergènes sont bien affichés.</t>
  </si>
  <si>
    <t>Il ne faut pas mettre tofu, tempeh et seitan la même semaine, car les élèves peuvent être perdus ou refuser.</t>
  </si>
  <si>
    <t>Si la satisfaction est basse, c’est peut-être parce que le plat manque de croustillant, que le nom n’est pas clair ou que la sauce est trop liquide.</t>
  </si>
  <si>
    <t>Si les lentilles accrochent à la cuisson, il faut plus de liquide, remuer et surveiller le refroidissement.</t>
  </si>
  <si>
    <t>Le plat végétal peut être accepté le midi mais refusé le soir si la sauce manque ou si la texture est trop sèche.</t>
  </si>
  <si>
    <t>Le dhal de pois cassés peut être refusé s’il est farineux, pas assez assaisonné et trop longtemps au chaud.</t>
  </si>
  <si>
    <t>Pour un public fragile, il faut vérifier que les pois cassés et le blé apportent assez de protéines sans trop de fibres.</t>
  </si>
  <si>
    <t>Un tajine végétal aux pois chiches peut marcher, mais il faut éviter les portions trop grandes et garder assez de sauce.</t>
  </si>
  <si>
    <t>Au self, il vaut mieux mettre un message simple sur les ingrédients plutôt qu’un grand discours.</t>
  </si>
  <si>
    <t>Le chili végétal aux haricots rouges peut coûter correctement, mais s’il est sec et peu mangé, il faut le corriger.</t>
  </si>
  <si>
    <t>En EHPAD, il faut noter si les résidents mangent vraiment le plat, s’ils se fatiguent à mâcher et si la sauce aide.</t>
  </si>
  <si>
    <t>Pour comprendre le gaspillage, il faut regarder les retours plateau selon le plat, le jour, la garniture et le public.</t>
  </si>
  <si>
    <t>Chaque mois, on peut classer les recettes végétales selon goût, gaspillage, coût, facilité de production et allergènes.</t>
  </si>
  <si>
    <t>Pour savoir si une recette plaît, il faut croiser la note des élèves, les quantités servies et les restes assiette.</t>
  </si>
  <si>
    <t>Avant de généraliser une recette, il faut faire goûter, écouter les remarques et corriger l’assaisonnement.</t>
  </si>
  <si>
    <t>Les protéines de soja texturées ont besoin d’être bien réhydratées et assaisonnées, et il faut afficher le soja.</t>
  </si>
  <si>
    <t>Une galette de lentilles en burger doit tenir, ne pas être friable et avoir une sauce.</t>
  </si>
  <si>
    <t>Il faut garder la fiche technique, le fournisseur, les allergènes, le rendement et les retours des élèves.</t>
  </si>
  <si>
    <t>Le seitan est riche en gluten, donc il ne peut pas servir d’alternative pour tout le monde.</t>
  </si>
  <si>
    <t>On ne doit pas enlever la viande d’un coup. Il vaut mieux proposer petit à petit des plats végétaux et bien expliquer aux élèves ce qu’il y a dedans.;substitution / alternative / végétal</t>
  </si>
  <si>
    <t>Les pois chiches peuvent remplacer une partie de la viande dans un plat, mais il faut que ce soit bon, pas sec et avec une bonne texture.;légumineuse / protéine / texture-goût</t>
  </si>
  <si>
    <t>Les pois chiches peuvent aider à remplacer un peu la viande, mais il faut travailler le goût, la sauce et la texture pour que ça passe bien en bouche.;légumineuse / protéine / bouche / texture / goût</t>
  </si>
  <si>
    <t>Avant de changer les menus, il faut regarder le prix de la portion. Un plat végétal peut coûter moins cher, mais demander plus de travail en cuisine.;coût / alternative / végétal</t>
  </si>
  <si>
    <t>Le seitan peut être utilisé, mais il contient du gluten. Il faut donc l’indiquer clairement avant le service.;seitan / gluten</t>
  </si>
  <si>
    <t>Il ne faut pas dire que le plat végétal est une punition ou un plat moins bien. Il faut le présenter comme une autre recette avec des protéines.;végétal / nutrition</t>
  </si>
  <si>
    <t>Même si le plat végétal est équilibré, les élèves ne le mangeront pas s’il est sec, farineux ou mal assaisonné.;bouche / végétal / nutrition</t>
  </si>
  <si>
    <t>Les lentilles c’est bien, mais il faut aussi utiliser pois chiches, haricots rouges, haricots blancs, pois cassés, fèves, soja, tofu, tempeh et céréales.;légumineuse / végétal / nutrition</t>
  </si>
  <si>
    <t>Avant de mettre un plat végétal souvent au menu, il faut le tester avec l’équipe et regarder la quantité, la tenue au chaud, le coût, les restes et l’avis des élèves.;alternative / végétal / coût</t>
  </si>
  <si>
    <t>On peut faire un plat plus complet avec une légumineuse et une céréale, par exemple pois chiches avec semoule, haricots rouges avec riz ou lentilles avec blé.;légumineuse / nutrition</t>
  </si>
  <si>
    <t>Il ne faut pas opposer ceux qui mangent de la viande et ceux qui prennent un plat végétal. Le but est juste d’avoir plus de choix.;végétal</t>
  </si>
  <si>
    <t>Un chili végétal aux haricots rouges peut être intéressant, mais il faut regarder le prix, le temps de préparation, les pertes et ce qui revient dans les assiettes.;végétal / coût</t>
  </si>
  <si>
    <t>Le tofu tout seul n’est pas terrible. Il faut le mariner, l’assaisonner et le mettre dans une vraie recette pour qu’il ait du goût.;bouche / végétal</t>
  </si>
  <si>
    <t>On peut remplacer une partie de la viande par des lentilles dans une sauce, un gratin, un hachis ou une farce, mais il faut que la recette reste logique.;substitution / légumineuse</t>
  </si>
  <si>
    <t>Un bon plat végétal, ce n’est pas juste enlever la viande. Il faut une protéine, une garniture, une sauce et une texture agréable.;végétal / nutrition / bouche</t>
  </si>
  <si>
    <t>Sur l’année, il faut regarder combien de menus végétariens sont servis, quelles protéines sont utilisées, le coût, le gaspillage et si les élèves aiment.;végétal / coût</t>
  </si>
  <si>
    <t>Pour commencer, il vaut mieux faire des plats connus comme chili, dhal, couscous végétal, curry de pois chiches, bolognaise de lentilles ou galette de haricots.;végétal / lentilles / pois chiches</t>
  </si>
  <si>
    <t>Il ne faut pas imposer le plat végétal sans explication. Les mots utilisés au self ou en cours peuvent changer l’envie de goûter.;alternative</t>
  </si>
  <si>
    <t>Il ne faut pas parler seulement des lentilles. Il faut aussi vérifier si on utilise pois chiches, haricots, pois cassés, fèves, soja, tofu, tempeh, lupin et graines.;lentilles / végétal / légumineuse</t>
  </si>
  <si>
    <t>Si on explique mal le remplacement de la viande, les élèves peuvent rejeter le plat. Il vaut mieux parler de goût, de recette complète, de saison et de coût maîtrisé.;substitution / coût / nutrition</t>
  </si>
  <si>
    <t>Le seitan contient du gluten, donc il ne peut pas convenir à tout le monde. Il doit être bien noté dans les allergènes.;seitan / gluten</t>
  </si>
  <si>
    <t>Le responsable veut baisser le coût en mettant moins de viande et plus de protéines végétales. On propose une bolognaise aux lentilles, mais il faut aussi essayer pois chiches, haricots rouges, pois cassés et tofu. Il faut regarder le prix, les restes et si les élèves aiment.;coût / viande / lentilles / pois chiches / tofu / gaspillage</t>
  </si>
  <si>
    <t>Le chef veut mettre du seitan parce que la texture ressemble plus à de la viande. Mais il faut faire attention, car le seitan contient du gluten et ne peut pas être servi à tout le monde.;seitan / gluten / texture / allergène</t>
  </si>
  <si>
    <t>Si on présente le menu végétarien comme une obligation, les élèves vont moins avoir envie. Il vaut mieux expliquer que c’est une autre recette, avec d’autres protéines et pas forcément moins bonne.;végétarien / communication / protéines / acceptabilité</t>
  </si>
  <si>
    <t>La recette végétale est correcte sur la fiche, mais en vrai elle est sèche, pas très jolie et les élèves n’ont pas trop aimé. Il faut améliorer la sauce, le goût, la couleur et le nom du plat.;végétal / sec / sauce / goût / couleur / acceptabilité</t>
  </si>
  <si>
    <t>Le plan parle trop souvent des lentilles. Les lentilles sont utiles, mais il faut aussi varier avec pois chiches, haricots blancs, haricots rouges, fèves, pois cassés, soja, tofu, tempeh, lupin, graines et céréales.;lentilles / pois chiches / haricots / tofu / tempeh / diversité</t>
  </si>
  <si>
    <t>L’établissement veut mettre plus de plats végétaux petit à petit, sans faire croire que c’est une punition. On teste d’abord un chili aux haricots rouges, puis un dhal de pois cassés et une bolognaise aux lentilles. Il faut comparer le prix, le temps de préparation, les restes et l’avis des élèves.;végétal / chili / haricots rouges / dhal / lentilles / coût / gaspillage</t>
  </si>
  <si>
    <t>Le formateur rappelle qu’un plat végétal doit être une vraie recette. Il faut une protéine, une garniture, une sauce et une texture agréable. Si on utilise du seitan, il faut bien afficher le gluten.;protéine / garniture / sauce / texture / seitan / gluten</t>
  </si>
  <si>
    <t>Tu as maintenant 2 lectures du même texte :</t>
  </si>
  <si>
    <t>J’ai intégré environ 120 déclencheurs CFA terrain, avec :</t>
  </si>
  <si>
    <t>Ancien moteur conservé intact en A:H.</t>
  </si>
  <si>
    <t>moteur historique en A:H ;</t>
  </si>
  <si>
    <t>mots simples : sec, sauce, reste, pas aimé, pas de gout ;</t>
  </si>
  <si>
    <t>lecture CFA terrain en I:AB.</t>
  </si>
  <si>
    <t>❶ Remplacer le texte en C4. ❷ Lire les OUI en colonne F.ou Premier déclencheur colonne M ❸ Lire le Résumé par famille ignes 85  - le Résumé audit automatique ligne 96</t>
  </si>
  <si>
    <t>La cellule de saisie reste C4.</t>
  </si>
  <si>
    <t>langage oral : ont pas aimé, personne a mangé, on sait pas ;</t>
  </si>
  <si>
    <t>INTERFACE DE LECTURE — C4 = saisie unique | A:H = lecture PRO historique | I:O = lecture CFA terrain | P:AB = zones techniques masquées</t>
  </si>
  <si>
    <t>DÉCLENCHEURS CFA TROUVÉS — top 10</t>
  </si>
  <si>
    <t>TEXTES TERRAIN CFA — exemples à copier en C4</t>
  </si>
  <si>
    <t>SYNTHÈSE PRO HISTORIQUE — familles détectées</t>
  </si>
  <si>
    <t>AUDIT AUTOMATIQUE — lecture formateur</t>
  </si>
  <si>
    <t>REPÈRES SOURCES PROTÉINES — aide mémoire</t>
  </si>
  <si>
    <t>Vous pouvez saisir votre propre texte en cellule C4. Pour faciliter la rédaction, quelques modèles sont proposés ci-dessous.</t>
  </si>
  <si>
    <t>Exemple CFA textes courts et  résumé audit</t>
  </si>
  <si>
    <t>Exemples plus complets que vous pouvez collerpour tester le résumé audit</t>
  </si>
  <si>
    <t>4 050 convives/jour</t>
  </si>
  <si>
    <t>132  jours de service</t>
  </si>
  <si>
    <t>534 600 repas/an</t>
  </si>
  <si>
    <t>Exemple 520 maternelles, 1250  primaires, 1890 lycéens, 390  adultes encadrants. Ouverture 4  jours/semaine sur 33  semaines.</t>
  </si>
  <si>
    <t>SUIVI SCOLAIRE</t>
  </si>
  <si>
    <t>Bon niveau : maintenir variété</t>
  </si>
  <si>
    <t>Simulation G+1 : 4 recette(s). Effet : diversité +, dépendance lentilles -, mais contrôler goût et nom du plat.</t>
  </si>
  <si>
    <t>Pas de soja : bon pour limiter allergène</t>
  </si>
  <si>
    <t>Si +1 soja : test possible mais traçage allergène obligatoire</t>
  </si>
  <si>
    <t>Pas de seitan : pas de risque gluten ajouté</t>
  </si>
  <si>
    <t>Si +1 seitan : possible uniquement avec affichage gluten et alternative</t>
  </si>
  <si>
    <t>Correct : pertes contenues</t>
  </si>
  <si>
    <t>Maintenir suivi retours plateaux et pesées</t>
  </si>
  <si>
    <t>Acceptabilité correcte</t>
  </si>
  <si>
    <t>Méthode : votes simples 1-5, retours plateaux, observations service. Satisfaction % = avis positifs / réponses exploitables.</t>
  </si>
  <si>
    <t>Incidence : gain intéressant si satisfaction et gaspillage restent maîtrisés</t>
  </si>
  <si>
    <t>Séquence formateur : mois exploitable comme exemple positif</t>
  </si>
  <si>
    <t>Action immédiate : contrôler fiches techniques, transmissions soins/cuisine, plan de table et substitutions.</t>
  </si>
  <si>
    <t>ALERTE ALLERGENE GLUTEN</t>
  </si>
  <si>
    <t>Alerte seitan/gluten : contrôle allergène obligatoire. Contrôler nutrition, coût, allergènes, acceptabilité et gaspillage.</t>
  </si>
  <si>
    <t>Je fournis la base. Vous construisez votre outil</t>
  </si>
  <si>
    <t>Dans ce classeur vous avez des modèles à utiliser ou à modifier</t>
  </si>
  <si>
    <t>Ce document est composé de : This document is composed of: Este documento se compone de:</t>
  </si>
  <si>
    <t>Auteur : Joel Leboucher • Rochefort sur Mer |  Date : 22 Janvier 2026  |  heure : 10h07</t>
  </si>
  <si>
    <t>avec valeurs ou texte-with values or text-con valores o texto</t>
  </si>
  <si>
    <t>Fin du document cellule &gt;End of the “cell” document &gt;Fin del documento “celda” &gt;</t>
  </si>
  <si>
    <t>cellules vides - empty cells - celdas vacías</t>
  </si>
  <si>
    <t>Transmission des savoirs faire</t>
  </si>
  <si>
    <t>🇬🇧 Passing on Know-How</t>
  </si>
  <si>
    <t>🇪🇸 Transmisión del Saber Hacer</t>
  </si>
  <si>
    <t>lignes - rows - filas</t>
  </si>
  <si>
    <t>Madame..Monsieur….Bonjour</t>
  </si>
  <si>
    <t>Dear Sir or Madam,</t>
  </si>
  <si>
    <t>Señora, Señor:</t>
  </si>
  <si>
    <t>colonnes - columns - columnas</t>
  </si>
  <si>
    <t>Sur ce site, vous trouverez des exemples d’utilitaires issus de l’UPRT, fondés sur l’expérience et les savoir-faire de la restauration collective,</t>
  </si>
  <si>
    <t xml:space="preserve">On this site, you’ll find a selection of tools from UPRT, based on the experience and expertise of collective </t>
  </si>
  <si>
    <t>En este sitio encontrará ejemplos de herramientas procedentes del UPRT, basadas en la experiencia y los conocimientos de la restauración colectiva,</t>
  </si>
  <si>
    <t>et adaptables à la restauration commerciale.</t>
  </si>
  <si>
    <t>catering professionals, and adaptable to commercial food service.</t>
  </si>
  <si>
    <t xml:space="preserve"> y adaptables a la restauración comercial.</t>
  </si>
  <si>
    <t>L’objectif de ces documents est bien sûr de pouvoir les utiliser, mais surtout de nourrir la réflexion grâce à des exemples concrets</t>
  </si>
  <si>
    <t xml:space="preserve">The purpose of these documents is, of course, to be used — but more importantly, to encourage critical thinking through practical examples, </t>
  </si>
  <si>
    <t>El objetivo de estos documentos no es solo que se utilicen, sino también alimentar la reflexión mediante ejemplos concretos</t>
  </si>
  <si>
    <t>et de développer la capacité à penser, analyser et maîtriser ce que l’on fait.</t>
  </si>
  <si>
    <t>and to help develop the ability to think, analyze, and truly understand what we do.</t>
  </si>
  <si>
    <t>, y fomentar la capacidad de pensar, analizar y dominar lo que se hace.</t>
  </si>
  <si>
    <t>Un jeune en formation (CFA, lycée hôtelier, etc.) ou un professionnel en activité n’a pas toujours le temps d’apprendre les bases d’un tableur s’il n’a pas été initié.</t>
  </si>
  <si>
    <t>A young person in training (CFA, hospitality school, etc.) or an active professional often lacks time to learn spreadsheet basics if they haven't been introduced to them before.</t>
  </si>
  <si>
    <t>Un joven en formación (CFA, escuela de hostelería, etc.) o un profesional en activo no siempre tiene tiempo para aprender los fundamentos de una hoja de cálculo si nunca se le ha enseñado.</t>
  </si>
  <si>
    <t>En revanche, en partant de modèles existants, il peut progressivement apprendre à découper, coller, mettre en forme, utiliser formules et fonctions.</t>
  </si>
  <si>
    <t>However, starting from ready-made templates, they can gradually learn to break things down, copy, format, and use formulas and functions.</t>
  </si>
  <si>
    <t>Sin embargo, a partir de modelos ya hechos, puede aprender poco a poco a estructurar, copiar, dar formato y utilizar fórmulas y funciones.</t>
  </si>
  <si>
    <t>C’est pourquoi j’invite l’internaute à télécharger sur son disque dur les documents disponibles dans les archives de ce site,</t>
  </si>
  <si>
    <t xml:space="preserve">That’s why I encourage visitors to download these materials onto their hard drive, </t>
  </si>
  <si>
    <t xml:space="preserve">Por eso animo a los usuarios a descargar estos documentos en su disco duro, para crearse una “webteca” o biblioteca personal, </t>
  </si>
  <si>
    <t>afin de se constituer une “webthèque” ou “nethèque” personnelle, à consulter et exploiter au moment opportun.</t>
  </si>
  <si>
    <t>to build their own “web library” — a personal resource they can consult and use when the time is right.</t>
  </si>
  <si>
    <t>que puedan consultar y aprovechar cuando lo necesiten.</t>
  </si>
  <si>
    <t xml:space="preserve">Tendez la main, partagez vos savoir-faire : vos essais, vos erreurs et votre ténacité </t>
  </si>
  <si>
    <t>Reach out, share your know-how: your attempts, mistakes, and determination are stepping stones</t>
  </si>
  <si>
    <t>Tiende la mano, comparte tus saberes: tus intentos, tus errores y tu perseverancia son impulsores</t>
  </si>
  <si>
    <t>sont des tremplins pour celles et ceux qui veulent progresser.</t>
  </si>
  <si>
    <t xml:space="preserve"> for those who want to grow.</t>
  </si>
  <si>
    <t xml:space="preserve"> para quienes desean avanzar.</t>
  </si>
  <si>
    <t>Avec vos exemples, chacun pourra avancer à son rythme, avec confiance et gagner en autonomie.</t>
  </si>
  <si>
    <t>Through your examples, everyone can move forward at their own pace, with confidence, and gain autonomy.</t>
  </si>
  <si>
    <t>Con tu ejemplo, cada persona podrá progresar a su ritmo, con confianza y ganar en autonomía.</t>
  </si>
  <si>
    <t xml:space="preserve">Partager ses savoir-faire, c’est une façon de rendre hommage à celles et ceux qui nous ont transmis les leurs, </t>
  </si>
  <si>
    <t>Sharing your know-how is a way to pay tribute to those who passed theirs on to us —</t>
  </si>
  <si>
    <t>Compartir tus saberes es una forma de rendir homenaje a quienes nos transmitieron los suyos,</t>
  </si>
  <si>
    <t>parfois dans le silence ou l’exigence, et grâce à qui nous avançons aujourd’hui.</t>
  </si>
  <si>
    <t>sometimes in silence, sometimes with high expectations — and thanks to whom we move forward today.</t>
  </si>
  <si>
    <t>a veces en silencio, a veces con exigencia, y gracias a quienes seguimos avanzando hoy.</t>
  </si>
  <si>
    <t>Sincères salutations Joël Leboucher 21/10/2025</t>
  </si>
  <si>
    <t>Best regards,Joël Leboucher — October 21, 2025</t>
  </si>
  <si>
    <t>Atentamente,Joël Leboucher — 21 de octubre de 2025</t>
  </si>
  <si>
    <t>Adresse PC</t>
  </si>
  <si>
    <t>Everything  un utilitaire de recherche gratuit pour indexer et rechercher vos fichiers</t>
  </si>
  <si>
    <t>https://everything.fr.softonic.com/</t>
  </si>
  <si>
    <t>Pour faire court voici quelques petits exemples</t>
  </si>
  <si>
    <t>sur cette page vous avez déjà des formules à récupérer et des liens à visiter</t>
  </si>
  <si>
    <t>Utilitaires à copier dans vos documents puis ajustez la largeur des colonnes comme indiqué dans les cellules de couleur en bas de chaque tableau</t>
  </si>
  <si>
    <t>les cellules grises vous indiquent la largeur des colonnes sur votre document et les corrections à apporter</t>
  </si>
  <si>
    <t>la première colonne de chaque tableau n'a pas de cellule grise volontairement. Cette colonne est fusionnée pour vous faciliter la sélection du tableau - Largeur par défaut 3</t>
  </si>
  <si>
    <t>ICI</t>
  </si>
  <si>
    <t>Pourquoi une cellule ICI &gt; pour sélectionner le tableau en se déportant vers la droite et vous pouvez le coller dans une autre feuille</t>
  </si>
  <si>
    <t>Quelques liens hypertexte internes exemple de formules</t>
  </si>
  <si>
    <t>Pour modifier une formule &gt; dans la barre de formule supprimez le =</t>
  </si>
  <si>
    <t>la formule devient texte et se modifie comme du texte</t>
  </si>
  <si>
    <t>Un lien Hypertexte commence toujours par :    LIEN_HYPERTEXTE("#" c25 par exemple</t>
  </si>
  <si>
    <t xml:space="preserve">lorsque vous avez fini remettez un = devant positionnez vous à la fin de la formule </t>
  </si>
  <si>
    <t>Mettre seulement le dièse "#" entre 2 guillemets pour ne pas figer la cellule de destination</t>
  </si>
  <si>
    <t>et appuyez sur Entrée</t>
  </si>
  <si>
    <t>les mises à jours seront automatiques lorsque vous collerez votre tableau dans une autre feuille</t>
  </si>
  <si>
    <t>Vous avez une autre option pour figer la formule &gt; saisissez un ' apostrophe devant =</t>
  </si>
  <si>
    <t>vous obtenez le même résultat  MAIS cet ' est plus difficile à identifier en cas d'erreur</t>
  </si>
  <si>
    <t>Exemples de formules nomades vous indiquez une bonne fois pour toutes l'emplacement de la cellule de destination</t>
  </si>
  <si>
    <t xml:space="preserve">Combiner les Prénoms et Noms </t>
  </si>
  <si>
    <t>A vous d'imaginer d'autres utilisations possibles</t>
  </si>
  <si>
    <t>Affichage</t>
  </si>
  <si>
    <t>Détail de la formule saisie</t>
  </si>
  <si>
    <t>Prénom</t>
  </si>
  <si>
    <t>Nom</t>
  </si>
  <si>
    <t>Combinaison</t>
  </si>
  <si>
    <t>Formules utilisées pour afficher ces résultats</t>
  </si>
  <si>
    <t>Robert</t>
  </si>
  <si>
    <t>Spière</t>
  </si>
  <si>
    <t>Guillaume</t>
  </si>
  <si>
    <t>Tell</t>
  </si>
  <si>
    <t>Prénom et Nom</t>
  </si>
  <si>
    <t>Extraire les Noms et Prénoms</t>
  </si>
  <si>
    <t>Guillaume Tell</t>
  </si>
  <si>
    <t>FORMULETEXTE(O42)</t>
  </si>
  <si>
    <t>Guillaume,Tell</t>
  </si>
  <si>
    <t>indiquez entre les guillemets " , "que vous voulez supprimer la virgule de séparation</t>
  </si>
  <si>
    <t>Séparer Nom et Prénom et en faire une adresse mail</t>
  </si>
  <si>
    <t>https://www.youtube.com/watch?v=2TmdhLLUsOQ</t>
  </si>
  <si>
    <t>Largeurs de colonnes figées pour mémoire  et  Largeurs de colonnes formule pourquoi ?</t>
  </si>
  <si>
    <t xml:space="preserve">Lorsque vous Copiez/Collez un document dans une nouvelle feuille </t>
  </si>
  <si>
    <t>vous n'obtenez pas toujours le même écartement de colonnes pour la taille de police.</t>
  </si>
  <si>
    <t>les formules vous indiquent les nouvelles largeurs et les largeurs figées les corrections à apporter</t>
  </si>
  <si>
    <t>Excel n'aime pas les cellules vides j'ai donc saisi des valeurs 1 dans certaines cellules</t>
  </si>
  <si>
    <t>&lt;Largeurs de colonnes figées pour mémoire</t>
  </si>
  <si>
    <t xml:space="preserve">Pour toutes ces formules remplacez </t>
  </si>
  <si>
    <t>par votre N° de Ligne et de Colonne</t>
  </si>
  <si>
    <t>&lt;Largeurs de colonnes formule</t>
  </si>
  <si>
    <t>l'avantage de ne pas mettre le nom de la cellule entre guillemets c'est qu'elle se mettra automatiquement à jour lorsque vous copierez votre tableau ailleurs</t>
  </si>
  <si>
    <t>Formats de cellules nombres personnalisées</t>
  </si>
  <si>
    <t>UNICAR(128269)</t>
  </si>
  <si>
    <t>Tableau de bord des ventes et de gestion des stocks</t>
  </si>
  <si>
    <t>https://www.youtube.com/watch?v=BEAwIv4fIw4</t>
  </si>
  <si>
    <t>dans les 3 formules suivantes</t>
  </si>
  <si>
    <t># ##0" gr"</t>
  </si>
  <si>
    <t>Lien incrémenté ne se met pas à jour dans un autre emplacement</t>
  </si>
  <si>
    <t># ##0.000" kg"</t>
  </si>
  <si>
    <t>Extraire du texte d'une chaine de caractères</t>
  </si>
  <si>
    <t>formule plus simple MAIS si vous déplacez votre tableau vous devez à chaque fois modifier l'adresse ("# c131";</t>
  </si>
  <si>
    <t>de # ##0.000" kg"</t>
  </si>
  <si>
    <t>Collez votre texte &gt;</t>
  </si>
  <si>
    <t>qtzt-45221-kiu</t>
  </si>
  <si>
    <t>de 0.00" Kg"</t>
  </si>
  <si>
    <t>0.000" Kg"</t>
  </si>
  <si>
    <t>position du premier caractère à extraire</t>
  </si>
  <si>
    <t>0.000K\g</t>
  </si>
  <si>
    <t>nombre de caractères à extraire</t>
  </si>
  <si>
    <t>Poids portion 0.000" Kg"</t>
  </si>
  <si>
    <t># ##0" cl"</t>
  </si>
  <si>
    <t>0.00 " cm³"</t>
  </si>
  <si>
    <t>Vous pouvez extraire ce que vous voulez d'une phrase des nombre un prénom etc</t>
  </si>
  <si>
    <t>0.000 " dm³"</t>
  </si>
  <si>
    <t>0.000" L"</t>
  </si>
  <si>
    <t>Vous pouvez mettre des émotocones dans vos formules entre deux guillemets "   "</t>
  </si>
  <si>
    <t>0" lignes"</t>
  </si>
  <si>
    <t>"🚲 "   " 🤓 "   " ✔ "   " 🆗 "</t>
  </si>
  <si>
    <t>0" jours"</t>
  </si>
  <si>
    <t>0" H"</t>
  </si>
  <si>
    <t>➕  ⏮  ➿  ⁉  ⬅  ☺  ✔  ❓  🆗  🌼  🚲  🤓  🔛 🚐  «</t>
  </si>
  <si>
    <t>0" Mx"</t>
  </si>
  <si>
    <t>Lien &gt;</t>
  </si>
  <si>
    <t>Voici quelques photos pour aider à estimer les quantités</t>
  </si>
  <si>
    <t>0.0" %"</t>
  </si>
  <si>
    <t>Visuellement, ça représente quoi 100 calories ?</t>
  </si>
  <si>
    <t>🔗</t>
  </si>
  <si>
    <t>🔎#</t>
  </si>
  <si>
    <t>N° 0</t>
  </si>
  <si>
    <t>Col.0</t>
  </si>
  <si>
    <t>Comment taper sur votre clavier d'ordinateur tous les symboles, emoji, signes, icones ?</t>
  </si>
  <si>
    <t>0.0" mm"</t>
  </si>
  <si>
    <t>http://www.symbole-clavier.com/</t>
  </si>
  <si>
    <t>https://www.premiers-clics.fr/cours-informatique/windows-les-fonctionnalites-du-clavier/</t>
  </si>
  <si>
    <t>0.00" cm"</t>
  </si>
  <si>
    <t>Manuel d’utilisation</t>
  </si>
  <si>
    <t>0.00 " cm²"</t>
  </si>
  <si>
    <t>https://bepo.fr/wiki/Manuel</t>
  </si>
  <si>
    <t>https://bepo.fr/wiki/Menu</t>
  </si>
  <si>
    <t>Actif;"Actif";"Inactif"</t>
  </si>
  <si>
    <t>Vrai;"Vrai";"Faux"</t>
  </si>
  <si>
    <t>Liste des fonctions Excel avec une traduction</t>
  </si>
  <si>
    <t>https://fr.excelfunctions.eu/</t>
  </si>
  <si>
    <t>Pour vous détendre un peu  : Convertir un CD en MP3 avec Windows Media Player</t>
  </si>
  <si>
    <t>https://www.premiers-clics.fr/cours-informatique/windows-convertir-un-cd-en-fichiers-mp3/</t>
  </si>
  <si>
    <t>lorsque vous collez ce tableau ailleurs</t>
  </si>
  <si>
    <t>Amusez vous un tableur c'est fait pour ça</t>
  </si>
  <si>
    <t>Pour obtenir un nombre de plaques gastro à utiliser par exemple</t>
  </si>
  <si>
    <t>dans les formules avec loupe n'oubliez pas de modifier les adresses &gt; # k93 &amp;" K93"</t>
  </si>
  <si>
    <t>🛺</t>
  </si>
  <si>
    <t>🚲</t>
  </si>
  <si>
    <t>si vous utilisez un poids cru vous avez une formule</t>
  </si>
  <si>
    <t>❹ Kg cru</t>
  </si>
  <si>
    <t>et si vous utilisez un poids cuit vous en avez une autre</t>
  </si>
  <si>
    <t>❺ Kg cuit</t>
  </si>
  <si>
    <t>🤓</t>
  </si>
  <si>
    <t>Nombre de contenants</t>
  </si>
  <si>
    <t>Produit conditionné</t>
  </si>
  <si>
    <t>contenant(s) a prévoir &gt;</t>
  </si>
  <si>
    <t>Bœuf</t>
  </si>
  <si>
    <t>Sautés en morceaux service au poids</t>
  </si>
  <si>
    <t>❷ Type de Contenant</t>
  </si>
  <si>
    <t xml:space="preserve"> GN 1/ 1 = 3 Kg crus</t>
  </si>
  <si>
    <t>▼  ❹ ou ❺</t>
  </si>
  <si>
    <t>capacité du contenant ❸</t>
  </si>
  <si>
    <t xml:space="preserve"> Grammage  p.p.❼</t>
  </si>
  <si>
    <t>Effectif ❽</t>
  </si>
  <si>
    <t>couverts</t>
  </si>
  <si>
    <t xml:space="preserve">A conditionner </t>
  </si>
  <si>
    <t>Total contenants &gt;</t>
  </si>
  <si>
    <t>1 cont.pour &gt;</t>
  </si>
  <si>
    <t>un contenant* peut être une panière - un sachet - une plaque gastro - une louche - une barquette etc..</t>
  </si>
  <si>
    <t>Saisissez vos valeurs dans les cellules fond de couleur et collez ❹ Kg cru ou  ❺ Kg cuit</t>
  </si>
  <si>
    <t>LÉGENDE</t>
  </si>
  <si>
    <t>❶ FAMILLE et NOM DU PLAT</t>
  </si>
  <si>
    <t xml:space="preserve">❻ %  de PERTE </t>
  </si>
  <si>
    <t>❻ % de BONI &gt;</t>
  </si>
  <si>
    <t>❸ capacité du contenant*</t>
  </si>
  <si>
    <t>❻ Foisonnement</t>
  </si>
  <si>
    <t>❼  Grammage  p.p.</t>
  </si>
  <si>
    <t>❽ Saisissez vos effectifs</t>
  </si>
  <si>
    <t xml:space="preserve">Collez ❹ Kg cru ou ❺ Kg cuit </t>
  </si>
  <si>
    <t>Cellule &gt;</t>
  </si>
  <si>
    <t>CRU moins % Perte = CUIT</t>
  </si>
  <si>
    <t xml:space="preserve">CUIT + % boni = CRU </t>
  </si>
  <si>
    <t>Utilitaire pour le foisionnement en + ou - pour légumes secs et céréales etc…</t>
  </si>
  <si>
    <t>Cliquez sur les ◀</t>
  </si>
  <si>
    <t>cellules</t>
  </si>
  <si>
    <t>Produit conditionné &gt;</t>
  </si>
  <si>
    <t>Féculent</t>
  </si>
  <si>
    <t>Semoule (poids cru)</t>
  </si>
  <si>
    <t>CRU  Multiplié = CUIT</t>
  </si>
  <si>
    <t xml:space="preserve">CUIT Divisé  = CRU </t>
  </si>
  <si>
    <t xml:space="preserve"> GN 1/ 1 = 35 morceaux</t>
  </si>
  <si>
    <t>Service de quoi ? &gt;</t>
  </si>
  <si>
    <t>Morceaux</t>
  </si>
  <si>
    <t>(Morceaux- Tranches ...?)</t>
  </si>
  <si>
    <t>❹ Cru</t>
  </si>
  <si>
    <t>Poids Unitaire</t>
  </si>
  <si>
    <t>Combien p.p.❼</t>
  </si>
  <si>
    <t>Saisissez vos valeurs dans les cellules fond de couleur et collez ❹ Cu ou  ❺ Cuit</t>
  </si>
  <si>
    <t>❼  Quantité p.p.</t>
  </si>
  <si>
    <t>❺ Cuit</t>
  </si>
  <si>
    <t>Collez ❹ Cru ou ❺ Cuit Cellule &gt;</t>
  </si>
  <si>
    <t>Prix D'ACHAT / Prix de VENTE</t>
  </si>
  <si>
    <t>Bricolage "artisanal "   on peut faire plus simple mais c'est "pédagogique"</t>
  </si>
  <si>
    <t>&lt; position colonne et n° de ligne</t>
  </si>
  <si>
    <t>PRIX D'ACHAT</t>
  </si>
  <si>
    <t>PRIX VENTE</t>
  </si>
  <si>
    <t>%  d'augmentation</t>
  </si>
  <si>
    <t>Augmentation</t>
  </si>
  <si>
    <t xml:space="preserve">Saisissez vos valeurs dans les cellules fond ivoire </t>
  </si>
  <si>
    <t>Aide à la décision en Kg</t>
  </si>
  <si>
    <t>Pourcentages NET / BRUT et BRUT / NET</t>
  </si>
  <si>
    <t>Décriptage d'une recette par les pourcentages</t>
  </si>
  <si>
    <t>POIDS NET</t>
  </si>
  <si>
    <t>Nom de la recette &gt;</t>
  </si>
  <si>
    <t>PUNCH</t>
  </si>
  <si>
    <t>POIDS BRUT</t>
  </si>
  <si>
    <t>POIDS de PERTE</t>
  </si>
  <si>
    <t>%  de PERTE</t>
  </si>
  <si>
    <t xml:space="preserve"> Poids de perte</t>
  </si>
  <si>
    <t>Poids brut</t>
  </si>
  <si>
    <t>Total :</t>
  </si>
  <si>
    <t>%  de perte</t>
  </si>
  <si>
    <t>Pourcentages</t>
  </si>
  <si>
    <t>NET</t>
  </si>
  <si>
    <t>% Perte</t>
  </si>
  <si>
    <t>BRUT</t>
  </si>
  <si>
    <t>POIDS DE LA RECETTE A DÉCRYPTER &gt;</t>
  </si>
  <si>
    <t>Poids net</t>
  </si>
  <si>
    <t>Rhum</t>
  </si>
  <si>
    <t>Sucre de cannes</t>
  </si>
  <si>
    <t>Jus de pamplemousse</t>
  </si>
  <si>
    <t>Jus d'orange</t>
  </si>
  <si>
    <t>Citron vert</t>
  </si>
  <si>
    <t>conversion : volume Centilitres / poids</t>
  </si>
  <si>
    <t>Volume</t>
  </si>
  <si>
    <t>produit</t>
  </si>
  <si>
    <t>densité</t>
  </si>
  <si>
    <t>Eau</t>
  </si>
  <si>
    <t>lait entier</t>
  </si>
  <si>
    <t>Saisissez vos valeurs dans les cellules fond jaune</t>
  </si>
  <si>
    <t>lait 1/2 écrémé</t>
  </si>
  <si>
    <t>Nom de la recette</t>
  </si>
  <si>
    <t>POIDS DE LA RECETTE A DÉCRYPTER</t>
  </si>
  <si>
    <t>huile</t>
  </si>
  <si>
    <t>liste des produits</t>
  </si>
  <si>
    <t>Pourcentages des produits</t>
  </si>
  <si>
    <t>alcool</t>
  </si>
  <si>
    <t>Saisissez vos valeurs dans la cellule fond jaune encre rouge</t>
  </si>
  <si>
    <t>FIN</t>
  </si>
  <si>
    <t>Transmettez vos savoirs faire</t>
  </si>
  <si>
    <t>⓪①②③④⑤⑥⑦⑧⑨⑩⑪⑫⑬⑭⑮⑯⑰⑱⑲⑳</t>
  </si>
  <si>
    <t xml:space="preserve">cliquez sur la première cellule et sélectionnez dans la barre de formule le numéro </t>
  </si>
  <si>
    <t xml:space="preserve"> qui vous intéresse choisissez la police de caractères et la couleur qui vous conviennent</t>
  </si>
  <si>
    <t>⓿❶❷❸❹❺❻❼❽❾❿⓫⓬⓭⓮⓯⓰⓱⓲⓳⓴</t>
  </si>
  <si>
    <t>► ◄  ▲  ▼  '@  #  &amp;  %  ± ➕ ➖ ➗ ✖️ ¼  ½  ¾ |  Document réalisé avec l'aide de ChatGPT 😊</t>
  </si>
  <si>
    <t>(Je fournis la base. Vous construisez votre outil)</t>
  </si>
  <si>
    <t>Exemple de prompt sur 1 ligne à coller dans ChatGPT et joindre le document à analyser</t>
  </si>
  <si>
    <t>►</t>
  </si>
  <si>
    <t>ORDRE DE MISSION — Ouvre le classeur Excel fourni et réalise un audit technique profond puis une réparation réelle, sans réponse rassurante, déclarative ou cosmétique : chaque affirmation doit être accompagnée d’une preuve vérifiable cellule/plage/formule/compteur/test/extrait XML/résultat de contrôle ; si un point n’est pas contrôlé, écris NON CONTRÔLÉ avec la raison exacte ; ne jamais écrire “tout est OK”, “validé à 100 %”, “moteur fiable” ou “audit profond terminé” sans preuves correspondantes ; objectif : contrôler la mécanique du moteur, les formules, les matrices, les tests, les plages utilisées, les erreurs visibles, les erreurs potentielles, les résidus anciens, les textes parasites, les formules héritées dangereuses et le XML interne du fichier .xlsx ; contraintes non négociables : compatibilité Excel 2021 FR, zéro VBA, zéro macro, zéro lien externe, zéro formule dynamique, zéro formule à débordement, zéro LET, FILTRE, SEQUENCE, UNIQUE, TRIER, TEXTJOIN/JOINDRE.TEXTE, zéro @/intersection implicite, zéro formule partagée héritée dans le XML, éviter les formules monstres, scinder en helpers lisibles, utiliser des plages bornées, ne pas écraser les textes utiles ni les formules fonctionnelles sans justification ; PHASE 1 avant modification : produire un état des lieux factuel avec nom des feuilles, plages réellement utilisées, colonnes de formules, colonnes de textes métier, cellules où texte et formule sont mélangés, formules pointant vers plages trop courtes ou anciennes plages, références interfeuilles, liens externes, erreurs #REF!, #VALEUR!, #NOM?, #DIV/0!, #N/A, erreurs potentielles de logique de notation, cellules/blocs parasites ou obsolètes, sous forme de tableau PREUVE/RÉSULTAT/STATUT avec statuts OK, NON CONFORME, À CORRIGER ou NON CONTRÔLÉ ; PHASE 2 contrôle XML obligatoire : ouvrir le .xlsx comme archive ZIP et inspecter au minimum xl/workbook.xml, xl/worksheets/sheet*.xml, xl/calcChain.xml s’il existe, xl/sharedStrings.xml et xl/styles.xml afin de rechercher t="shared", #REF!, fonctions interdites, formules contenant @, anciennes plages, liens externes, cellules réparées ou supprimées par Excel, puis donner nombre d’anomalies, fichiers XML concernés, cellules concernées quand disponibles et conclusion XML conforme/non conforme/non contrôlé ; PHASE 3 réparation réelle : réparer directement le fichier si la structure est saine ou reconstruire dans un nouvel onglet propre si le moteur est trop contaminé, en conservant les textes utiles, supprimant/isolant les textes parasites, remplaçant les formules douteuses par des formules simples et testables, alignant toutes les plages sur le nombre réel de questions et de critères, vérifiant que chaque critère utile est réellement pris en compte dans la notation, que les réponses attendues ne sont pas copiées mécaniquement, que les relances sont différenciées et utiles, et qu’un mot-clé isolé ne suffit pas à obtenir une note maximale si la réponse n’est pas construite ; PHASE 4 audit après réparation : produire un tableau AVANT/APRÈS avec nombre de feuilles, questions, critères, plages réelles des matrices, plages des formules, nombre de formules modifiées, formules partagées restantes, erreurs #REF!, #VALEUR!, #NOM?, #DIV/0!, fonctions interdites restantes, références vers anciennes plages, liens externes, cellules texte placées par erreur dans une zone formule et résultat du contrôle XML final ; PHASE 5 tests obligatoires : tester au minimum une réponse vide, une réponse incomplète, une réponse correcte, une réponse contenant seulement un mot-clé isolé, une réponse avec plusieurs critères manquants, une réponse qui ne doit pas obtenir 20/20 et une réponse qui doit obtenir le maximum, avec pour chaque test question, niveau testé, réponse saisie, critères attendus, critères détectés, critères manquants, exclusions, score attendu, score obtenu, conclusion conforme/non conforme et correction appliquée ; PHASE 6 livrable final : fournir le fichier Excel corrigé, un onglet RAPPORT_AUDIT ou rapport clair, la liste exacte des cellules/plages modifiées, les formules importantes corrigées, le tableau AVANT/APRÈS, le résultat XML final, les tests réalisés, les problèmes restants, les points NON CONTRÔLÉS avec raison exacte et un avis critique réel sur la fiabilité restante du fichier ; conclusion uniquement à partir des preuves, sans formule générale, et si le fichier reste fragile ou nécessite une reconstruction complète, le dire clairement.</t>
  </si>
  <si>
    <t>En clair :</t>
  </si>
  <si>
    <t>ORDRE DE MISSION — AUDIT ET RÉPARATION RÉELLE D’UN CLASSEUR EXCEL</t>
  </si>
  <si>
    <t>IMPORTANT</t>
  </si>
  <si>
    <t>Je ne veux pas de réponse rassurante, déclarative ou cosmétique.</t>
  </si>
  <si>
    <t>Je veux un travail vérifiable, avec preuves techniques.</t>
  </si>
  <si>
    <t>Chaque affirmation doit être accompagnée d’au moins une preuve : cellule, plage, formule, compteur, test, extrait XML ou résultat de contrôle.</t>
  </si>
  <si>
    <t>Si un point n’a pas pu être contrôlé, écrire clairement : NON CONTRÔLÉ — raison exacte.</t>
  </si>
  <si>
    <t>Ne jamais écrire “tout est OK”, “validé à 100 %”, “moteur fiable” ou “audit profond terminé” sans preuves correspondantes.</t>
  </si>
  <si>
    <t>PÉRIMÈTRE</t>
  </si>
  <si>
    <t>Tu dois ouvrir le classeur Excel fourni et réaliser un audit technique profond, puis réparer réellement le fichier.</t>
  </si>
  <si>
    <t>Le travail doit porter sur la mécanique, les formules, les matrices, les tests, les plages utilisées, les erreurs visibles, les erreurs potentielles et le XML interne du fichier .xlsx.</t>
  </si>
  <si>
    <t>Le but n’est pas d’embellir le fichier, mais de supprimer les erreurs, incohérences, résidus anciens et formules héritées dangereuses.</t>
  </si>
  <si>
    <t>PHASE 1 — ÉTAT DES LIEUX AVANT MODIFICATION</t>
  </si>
  <si>
    <t>Avant toute modification, produire un diagnostic factuel avec un tableau contenant :</t>
  </si>
  <si>
    <t>1. nom exact des feuilles ;</t>
  </si>
  <si>
    <t>2. plages réellement utilisées ;</t>
  </si>
  <si>
    <t>3. colonnes contenant des formules ;</t>
  </si>
  <si>
    <t>4. colonnes contenant du texte métier ;</t>
  </si>
  <si>
    <t>5. cellules où texte et formule sont mélangés par erreur ;</t>
  </si>
  <si>
    <t>6. formules pointant vers des plages trop courtes ;</t>
  </si>
  <si>
    <t>7. formules pointant vers d’anciennes plages ;</t>
  </si>
  <si>
    <t>8. références interfeuilles ;</t>
  </si>
  <si>
    <t>9. liens externes ;</t>
  </si>
  <si>
    <t>10. erreurs visibles : #REF!, #VALEUR!, #NOM?, #DIV/0!, #N/A ;</t>
  </si>
  <si>
    <t>11. erreurs potentielles de logique de notation ;</t>
  </si>
  <si>
    <t>12. cellules ou blocs parasites, obsolètes ou résiduels.</t>
  </si>
  <si>
    <t>Sortie obligatoire de la phase 1 : tableau PREUVE / RÉSULTAT / STATUT.</t>
  </si>
  <si>
    <t>Statuts autorisés : OK, NON CONFORME, À CORRIGER, NON CONTRÔLÉ.</t>
  </si>
  <si>
    <t>PHASE 2 — CONTRÔLE XML OBLIGATOIRE</t>
  </si>
  <si>
    <t>Ouvrir le fichier .xlsx comme une archive ZIP et inspecter les fichiers XML internes.</t>
  </si>
  <si>
    <t>Contrôler au minimum : xl/workbook.xml, xl/worksheets/sheet*.xml, xl/calcChain.xml s’il existe, xl/sharedStrings.xml, xl/styles.xml.</t>
  </si>
  <si>
    <t>Rechercher explicitement :</t>
  </si>
  <si>
    <t xml:space="preserve"> formules partagées : t="shared" ;</t>
  </si>
  <si>
    <t xml:space="preserve"> références cassées : #REF! ;</t>
  </si>
  <si>
    <t xml:space="preserve"> fonctions interdites ;</t>
  </si>
  <si>
    <t xml:space="preserve"> formules contenant @ ;</t>
  </si>
  <si>
    <t xml:space="preserve"> anciennes plages obsolètes ;</t>
  </si>
  <si>
    <t xml:space="preserve"> liens externes ;</t>
  </si>
  <si>
    <t xml:space="preserve"> cellules contenant des formules supprimées ou réparées par Excel.</t>
  </si>
  <si>
    <t>Sortie obligatoire de la phase 2 :</t>
  </si>
  <si>
    <t>1. nombre de formules partagées détectées ;</t>
  </si>
  <si>
    <t>2. feuilles XML concernées ;</t>
  </si>
  <si>
    <t>3. cellules concernées quand l’adresse est disponible ;</t>
  </si>
  <si>
    <t>4. fonctions interdites trouvées ;</t>
  </si>
  <si>
    <t>5. références cassées trouvées ;</t>
  </si>
  <si>
    <t>6. conclusion : XML conforme / XML non conforme / NON CONTRÔLÉ avec raison.</t>
  </si>
  <si>
    <t>PHASE 3 — RÉPARATION RÉELLE</t>
  </si>
  <si>
    <t>Réparer le fichier directement.</t>
  </si>
  <si>
    <t>Deux modes possibles :</t>
  </si>
  <si>
    <t>Mode A — réparation ciblée si la structure est saine.</t>
  </si>
  <si>
    <t>Mode B — reconstruction dans un nouvel onglet propre si l’ancien moteur contient trop de résidus, formules héritées, plages incohérentes ou erreurs structurelles.</t>
  </si>
  <si>
    <t>Règles de réparation :</t>
  </si>
  <si>
    <t>conserver les textes utiles ;</t>
  </si>
  <si>
    <t xml:space="preserve"> supprimer ou isoler les textes parasites ;</t>
  </si>
  <si>
    <t xml:space="preserve"> remplacer les formules douteuses par des formules simples, bornées, testables ;</t>
  </si>
  <si>
    <t xml:space="preserve"> supprimer les références à d’anciennes plages ;</t>
  </si>
  <si>
    <t xml:space="preserve"> aligner toutes les plages de calcul sur le nombre réel de questions et de critères ;</t>
  </si>
  <si>
    <t xml:space="preserve"> vérifier que chaque critère utile est réellement pris en compte</t>
  </si>
  <si>
    <t xml:space="preserve"> vérifier que les réponses attendues ne sont pas de simples variantes copiées ;</t>
  </si>
  <si>
    <t xml:space="preserve"> vérifier que les relances sont différenciées et utiles ;</t>
  </si>
  <si>
    <t xml:space="preserve"> vérifier qu’un motclé isolé ne suffit pas à obtenir une note maximale si la réponse n’est pas construite.</t>
  </si>
  <si>
    <t>PHASE 4 — AUDIT APRÈS RÉPARATION</t>
  </si>
  <si>
    <t>Après modification, refaire un audit complet.</t>
  </si>
  <si>
    <t>Produire un tableau AVANT / APRÈS avec :</t>
  </si>
  <si>
    <t>1. nombre de feuilles ;</t>
  </si>
  <si>
    <t>2. nombre de questions ;</t>
  </si>
  <si>
    <t>3. nombre de critères ;</t>
  </si>
  <si>
    <t>4. plages réelle des matrices ;</t>
  </si>
  <si>
    <t>6. plage réelle des formules ;</t>
  </si>
  <si>
    <t>7. nombre de formules modifiées ;</t>
  </si>
  <si>
    <t>8. nombre de formules partagées restantes ;</t>
  </si>
  <si>
    <t>9. nombre d’erreurs #REF! ;</t>
  </si>
  <si>
    <t>10. nombre d’erreurs #VALEUR! ;</t>
  </si>
  <si>
    <t>11. nombre d’erreurs #NOM? ;</t>
  </si>
  <si>
    <t>12. nombre d’erreurs #DIV/0! ;</t>
  </si>
  <si>
    <t>13. nombre de fonctions interdites restantes ;</t>
  </si>
  <si>
    <t>14. nombre de références vers anciennes plages ;</t>
  </si>
  <si>
    <t>15. nombre de liens externes ;</t>
  </si>
  <si>
    <t>16. nombre de cellules texte placées par erreur dans une zone formule ;</t>
  </si>
  <si>
    <t>17. résultat du contrôle XML après réparation.</t>
  </si>
  <si>
    <t>PHASE 5 — TESTS DE NOTATION OBLIGATOIRES</t>
  </si>
  <si>
    <t>Tester au minimum dix cas :</t>
  </si>
  <si>
    <t>1. réponse contenant seulement un motclé isolé ;</t>
  </si>
  <si>
    <t>2. réponse avec plusieurs critères manquants ;</t>
  </si>
  <si>
    <t>3. réponse qui ne doit pas obtenir 20/20 ;</t>
  </si>
  <si>
    <t>4. réponse qui doit obtenir le maximum.</t>
  </si>
  <si>
    <t>Pour chaque test, fournir un tableau avec :</t>
  </si>
  <si>
    <t xml:space="preserve"> question testée ;</t>
  </si>
  <si>
    <t>niveau testé  ;</t>
  </si>
  <si>
    <t xml:space="preserve"> réponse saisie ;</t>
  </si>
  <si>
    <t xml:space="preserve"> critères ;</t>
  </si>
  <si>
    <t xml:space="preserve"> exclusions détectées ;</t>
  </si>
  <si>
    <t xml:space="preserve"> scores ;</t>
  </si>
  <si>
    <t xml:space="preserve"> conclusion : conforme / non conforme ;</t>
  </si>
  <si>
    <t xml:space="preserve"> correction appliquée si non conforme.</t>
  </si>
  <si>
    <t>PHASE 6 — LIVRABLE FINAL</t>
  </si>
  <si>
    <t>Fournir obligatoirement :</t>
  </si>
  <si>
    <t>1. le fichier Excel corrigé ;</t>
  </si>
  <si>
    <t>2. un onglet RAPPORT_AUDIT ou un rapport séparé clair ;</t>
  </si>
  <si>
    <t>3. la liste exacte des cellules/plages modifiées ;</t>
  </si>
  <si>
    <t>4. la liste des formules importantes corrigées ;</t>
  </si>
  <si>
    <t>5. le tableau AVANT / APRÈS ;</t>
  </si>
  <si>
    <t>6. le résultat du contrôle XML final ;</t>
  </si>
  <si>
    <t>7. les tests  réalisés ;</t>
  </si>
  <si>
    <t>8. les problèmes restants, s’il en existe ;</t>
  </si>
  <si>
    <t>9. les points NON CONTRÔLÉS, avec raison exacte ;</t>
  </si>
  <si>
    <t>10. un avis critique réel sur la fiabilité restante du fichier.</t>
  </si>
  <si>
    <t>CONCLUSION ATTENDUE</t>
  </si>
  <si>
    <t>Ne conclus pas par une formule générale.</t>
  </si>
  <si>
    <t>Conclus uniquement à partir des preuves fournies.</t>
  </si>
  <si>
    <t>Si le fichier reste fragile, le dire clairement.</t>
  </si>
  <si>
    <t>Si une réparation complète demanderait une reconstruction , le dire clairement.</t>
  </si>
  <si>
    <t>Tu dois travailler comme un contrôleur qualité Excel : preuves, cellules, plages, compteurs, tests, XML, puis correction.</t>
  </si>
  <si>
    <t>Ouvre le classeur Excel fourni et fais un audit technique profond avant toute modification. Je ne veux aucune réponse rassurante ou déclarative : chaque affirmation doit être prouvée par cellule, plage, formule, compteur, test ou résultat XML. Le fichier final doit rester compatible Excel 2021 FR : sans VBA, sans macros, sans LET, FILTRE/FILTER, SEQUENCE, TEXTJOIN/JOINDRE.TEXTE, sans @, sans formules dynamiques, sans liens externes, sans formules partagées héritées dans le XML, sans erreurs #REF!, #VALEUR!, #NOM?, #DIV/0!, #N/A dans les zones moteur. Phase 1 : audit avant modification avec nom des feuilles, dimensions utilisées, plages moteur, matrice questions, matrice critères, tests, contrôle qualité, colonnes formules, colonnes textes, cellules mélangeant texte/formule, formules vers anciennes plages, erreurs visibles et risques de notation. Phase 2 : ouvrir le .xlsx comme archive ZIP et contrôler les XML internes : compter t="shared", #REF!, @, fonctions interdites, anciennes plages, caches d’erreurs ; fournir les preuves XML avant réparation. Phase 3 : réparer réellement le fichier sans écraser les textes utiles, sans déplacer inutilement le moteur, en remplaçant les formules douteuses par des formules simples, bornées et auditables ; tracer chaque modification par cellule/plage avec justification. Phase 4 : refaire l’audit complet après réparation et fournir un tableau AVANT/APRÈS : questions, critères, plages, formules, formules modifiées, formules partagées restantes, erreurs Excel, fonctions interdites, anciennes références, textes en zone formule. Phase 5 : faire des tests métier obligatoires : réponse vide, CFA incomplète, CFA correcte, PRO incomplète, PRO correcte, mot-clé isolé, plusieurs critères manquants, réponse qui ne doit pas obtenir 20/20, réponse qui doit obtenir le maximum, PRO testé en CFA, CFA testé en PRO ; indiquer score attendu, score obtenu, cellule/plage et conclusion conforme/non conforme. Phase 6 : fournir le fichier corrigé, le rapport d’audit, les cellules/plages modifiées, les formules importantes corrigées, les tests réalisés, les contrôles XML avant/après, les problèmes restants et un avis critique réel. Interdiction d’écrire “tout est OK”, “validé à 100 %”, “audit profond terminé”, “moteur fiable” ou “corrigé définitivement” sans preuves techniques complètes. Si un point n’a pas pu être contrôlé, écrire NON CONTRÔLÉ avec la raison exacte.</t>
  </si>
  <si>
    <t>Un audit Excel sérieux ne doit pas se résumer à “j’ai vérifié / tout est OK”. Il doit produire des preuves contrôlables : plages inspectées, formules modifiées, anciennes formules restantes, erreurs XML, dépendances, tests de notation.</t>
  </si>
  <si>
    <t>Voici le prompt à utiliser pour m’obliger à faire un travail sérieux.</t>
  </si>
  <si>
    <t>MISSION : AUDIT ET RÉPARATION TECHNIQUE D’UN CLASSEUR EXCEL 2021 FR</t>
  </si>
  <si>
    <t>Tu dois ouvrir le classeur Excel fourni et réaliser un audit technique profond, vérifiable et non cosmétique. L’objectif est de réparer réellement le fichier, pas d’améliorer seulement la présentation.</t>
  </si>
  <si>
    <t>RÈGLE ABSOLUE</t>
  </si>
  <si>
    <t>Aucune affirmation ne doit être déclarative. Chaque constat doit être prouvé par au moins un élément vérifiable : cellule, plage, formule, compteur, résultat de test, extrait XML ou nom de fichier XML interne. Si un point n’a pas pu être contrôlé, écrire clairement : NON CONTRÔLÉ + raison exacte.</t>
  </si>
  <si>
    <t>CONTRAINTES IMPÉRATIVES</t>
  </si>
  <si>
    <t>Le classeur final doit rester compatible Excel 2021 FR et respecter strictement :</t>
  </si>
  <si>
    <t>- sans VBA ;</t>
  </si>
  <si>
    <t>- sans macros ;</t>
  </si>
  <si>
    <t>- sans formules dynamiques ;</t>
  </si>
  <si>
    <t>- sans LET ;</t>
  </si>
  <si>
    <t>- sans FILTRE / FILTER ;</t>
  </si>
  <si>
    <t>- sans SEQUENCE ;</t>
  </si>
  <si>
    <t>- sans TEXTJOIN / JOINDRE.TEXTE ;</t>
  </si>
  <si>
    <t>- sans @ / intersection implicite ;</t>
  </si>
  <si>
    <t>- sans références interfeuilles inutiles ;</t>
  </si>
  <si>
    <t>- sans formules partagées héritées dans le XML ;</t>
  </si>
  <si>
    <t>- sans liens externes ;</t>
  </si>
  <si>
    <t>- sans #REF!, #VALEUR!, #NOM?, #DIV/0!, #N/A dans les zones moteur ;</t>
  </si>
  <si>
    <t>- sans mélange accidentel entre textes métier et zones de formules ;</t>
  </si>
  <si>
    <t>- aucune correction cosmétique ne doit masquer une erreur de logique.</t>
  </si>
  <si>
    <t>PHASE 1 — AUDIT AVANT MODIFICATION</t>
  </si>
  <si>
    <t>Avant toute modification, produire un diagnostic factuel indiquant :</t>
  </si>
  <si>
    <t>2. dimension utilisée de chaque feuille ;</t>
  </si>
  <si>
    <t>3. plage du moteur ;</t>
  </si>
  <si>
    <t>4. plage de la matrice questions ;</t>
  </si>
  <si>
    <t>5. plage de la matrice critères ;</t>
  </si>
  <si>
    <t>6. plage des tests de validation ;</t>
  </si>
  <si>
    <t>7. plage du contrôle qualité ;</t>
  </si>
  <si>
    <t>8. colonnes techniques contenant des formules ;</t>
  </si>
  <si>
    <t>9. colonnes contenant du texte métier ;</t>
  </si>
  <si>
    <t>10. cellules ou colonnes où texte et formule sont mélangés par erreur ;</t>
  </si>
  <si>
    <t>11. formules pointant vers des plages trop courtes ;</t>
  </si>
  <si>
    <t>12. formules pointant vers d’anciennes plages ou zones obsolètes ;</t>
  </si>
  <si>
    <t>13. erreurs Excel visibles ;</t>
  </si>
  <si>
    <t>14. risques de logique de notation ;</t>
  </si>
  <si>
    <t>15. nombre de questions réelles ;</t>
  </si>
  <si>
    <t>16. nombre de critères réels ;</t>
  </si>
  <si>
    <t>17. nombre de formules présentes ;</t>
  </si>
  <si>
    <t>18. nombre de formules suspectes.</t>
  </si>
  <si>
    <t>Ouvrir le fichier .xlsx comme une archive ZIP et inspecter les XML internes.</t>
  </si>
  <si>
    <t>Contrôles obligatoires :</t>
  </si>
  <si>
    <t>- rechercher les formules partagées : t="shared" ;</t>
  </si>
  <si>
    <t>- compter les formules partagées trouvées ;</t>
  </si>
  <si>
    <t>- indiquer leur emplacement XML et, si possible, les cellules concernées ;</t>
  </si>
  <si>
    <t>- rechercher #REF! ;</t>
  </si>
  <si>
    <t>- rechercher #VALUE!, #N/A, #DIV/0!, #NAME? si présents dans les caches XML ;</t>
  </si>
  <si>
    <t>- rechercher les formules contenant @ ;</t>
  </si>
  <si>
    <t>- rechercher LET, FILTER, FILTRE, SEQUENCE, TEXTJOIN, JOINDRE.TEXTE ;</t>
  </si>
  <si>
    <t>- rechercher les anciennes plages obsolètes ;</t>
  </si>
  <si>
    <t>- vérifier que les feuilles XML sont lisibles.</t>
  </si>
  <si>
    <t>Tu dois fournir les compteurs XML AVANT réparation.</t>
  </si>
  <si>
    <t>PHASE 3 — RÉPARATION CONTRÔLÉE</t>
  </si>
  <si>
    <t>Réparer le fichier directement en respectant ces règles :</t>
  </si>
  <si>
    <t>- ne pas écraser les textes métier utiles ;</t>
  </si>
  <si>
    <t>- ne pas écraser une formule fonctionnelle sans justification ;</t>
  </si>
  <si>
    <t>- ne pas déplacer le moteur sans nécessité ;</t>
  </si>
  <si>
    <t>- ne pas mélanger textes d’audit et colonnes techniques ;</t>
  </si>
  <si>
    <t>- remplacer les formules douteuses par des formules plus simples, bornées et auditables ;</t>
  </si>
  <si>
    <t>- privilégier les helpers plutôt que les formules trop longues ;</t>
  </si>
  <si>
    <t>- conserver des plages cohérentes avec la capacité réelle du moteur ;</t>
  </si>
  <si>
    <t>- supprimer ou reconstruire les formules partagées héritées ;</t>
  </si>
  <si>
    <t>- forcer un recalcul propre à l’ouverture du classeur si nécessaire.</t>
  </si>
  <si>
    <t>Chaque modification doit être tracée dans un journal :</t>
  </si>
  <si>
    <t>- cellule ou plage modifiée ;</t>
  </si>
  <si>
    <t>- ancienne logique ou problème constaté ;</t>
  </si>
  <si>
    <t>- nouvelle logique appliquée ;</t>
  </si>
  <si>
    <t>- justification technique.</t>
  </si>
  <si>
    <t>Après réparation, refaire les mêmes contrôles que dans les phases 1 et 2.</t>
  </si>
  <si>
    <t>Fournir un tableau AVANT / APRÈS avec au minimum :</t>
  </si>
  <si>
    <t>- nombre de feuilles ;</t>
  </si>
  <si>
    <t>- nombre de questions ;</t>
  </si>
  <si>
    <t>- nombre de critères ;</t>
  </si>
  <si>
    <t>- plage réelle de la matrice questions ;</t>
  </si>
  <si>
    <t>- plage réelle de la matrice critères ;</t>
  </si>
  <si>
    <t>- plage réelle des formules moteur ;</t>
  </si>
  <si>
    <t>- nombre total de formules ;</t>
  </si>
  <si>
    <t>- nombre de formules modifiées ;</t>
  </si>
  <si>
    <t>- nombre de formules partagées XML restantes ;</t>
  </si>
  <si>
    <t>- nombre de #REF! ;</t>
  </si>
  <si>
    <t>- nombre de #VALEUR! / #VALUE! ;</t>
  </si>
  <si>
    <t>- nombre de #NOM? / #NAME? ;</t>
  </si>
  <si>
    <t>- nombre de #DIV/0! ;</t>
  </si>
  <si>
    <t>- nombre de #N/A ;</t>
  </si>
  <si>
    <t>- nombre de fonctions interdites ;</t>
  </si>
  <si>
    <t>- nombre de références vers anciennes plages ;</t>
  </si>
  <si>
    <t>- nombre de cellules texte trouvées par erreur dans une zone formule ;</t>
  </si>
  <si>
    <t>- résultat des tests de notation.</t>
  </si>
  <si>
    <t>PHASE 5 — TESTS MÉTIER OBLIGATOIRES</t>
  </si>
  <si>
    <t>Tester au minimum 10 cas :</t>
  </si>
  <si>
    <t>1. réponse vide ;</t>
  </si>
  <si>
    <t>2. réponse CFA incomplète ;</t>
  </si>
  <si>
    <t>3. réponse CFA correcte ;</t>
  </si>
  <si>
    <t>4. réponse PRO incomplète ;</t>
  </si>
  <si>
    <t>5. réponse PRO correcte ;</t>
  </si>
  <si>
    <t>6. réponse avec seulement un mot-clé isolé ;</t>
  </si>
  <si>
    <t>7. réponse avec plusieurs critères manquants ;</t>
  </si>
  <si>
    <t>8. réponse qui ne doit pas obtenir 20/20 ;</t>
  </si>
  <si>
    <t>9. réponse qui doit obtenir le maximum ;</t>
  </si>
  <si>
    <t>10. réponse PRO évaluée en mode CFA ;</t>
  </si>
  <si>
    <t>11. réponse CFA évaluée en mode PRO.</t>
  </si>
  <si>
    <t>Pour chaque test, fournir :</t>
  </si>
  <si>
    <t>- question testée ;</t>
  </si>
  <si>
    <t>- niveau testé : CFA ou PRO ;</t>
  </si>
  <si>
    <t>- réponse saisie ;</t>
  </si>
  <si>
    <t>- score attendu ;</t>
  </si>
  <si>
    <t>- score obtenu ;</t>
  </si>
  <si>
    <t>- écart éventuel ;</t>
  </si>
  <si>
    <t>- conclusion : conforme / non conforme ;</t>
  </si>
  <si>
    <t>- cellule ou plage utilisée pour le calcul.</t>
  </si>
  <si>
    <t>RÈGLES DE NOTATION À CONTRÔLER</t>
  </si>
  <si>
    <t>- Une réponse PRO complète doit pouvoir obtenir un très bon score en mode CFA si elle couvre les attendus essentiels.</t>
  </si>
  <si>
    <t>- Une réponse CFA simple ne doit pas obtenir automatiquement un excellent score en mode PRO si elle manque de précision technique.</t>
  </si>
  <si>
    <t>- Les mots-clés isolés ne doivent pas suffire à valider une vraie réponse construite.</t>
  </si>
  <si>
    <t>- Les notions critiques doivent peser réellement.</t>
  </si>
  <si>
    <t>- Les erreurs éliminatoires ou fortement pénalisantes doivent être détectées.</t>
  </si>
  <si>
    <t>- Les scores doivent être plafonnés à 20/20.</t>
  </si>
  <si>
    <t>Fournir :</t>
  </si>
  <si>
    <t>2. un rapport d’audit clair ;</t>
  </si>
  <si>
    <t>3. le tableau AVANT / APRÈS ;</t>
  </si>
  <si>
    <t>4. la liste exacte des cellules et plages modifiées ;</t>
  </si>
  <si>
    <t>5. les formules importantes corrigées ;</t>
  </si>
  <si>
    <t>6. les tests métier réalisés ;</t>
  </si>
  <si>
    <t>7. les contrôles XML avant/après ;</t>
  </si>
  <si>
    <t>8. les problèmes restants s’il en existe ;</t>
  </si>
  <si>
    <t>9. un avis critique réel.</t>
  </si>
  <si>
    <t>INTERDICTIONS DE RÉPONSE</t>
  </si>
  <si>
    <t>Tu n’as pas le droit d’écrire :</t>
  </si>
  <si>
    <t>- “validé à 100 %” ;</t>
  </si>
  <si>
    <t>- “tout est OK” ;</t>
  </si>
  <si>
    <t>- “audit profond terminé” ;</t>
  </si>
  <si>
    <t>- “moteur fiable” ;</t>
  </si>
  <si>
    <t>- “corrigé définitivement” ;</t>
  </si>
  <si>
    <t>sauf si toutes les preuves techniques correspondantes sont fournies.</t>
  </si>
  <si>
    <t>Si une erreur est découverte après une déclaration de conformité, considérer que l’audit précédent était insuffisant et le dire explicitement.</t>
  </si>
  <si>
    <t>La conclusion doit être prudente et vérifiable. Elle doit distinguer :</t>
  </si>
  <si>
    <t>- points contrôlés ;</t>
  </si>
  <si>
    <t>- points réparés ;</t>
  </si>
  <si>
    <t>- points non contrôlés ;</t>
  </si>
  <si>
    <t>- risques restants ;</t>
  </si>
  <si>
    <t>- avis technique.</t>
  </si>
  <si>
    <t>Fichier généré et contrôlé techniquement ici, mais non validé par ouverture manuelle Excel desktop.</t>
  </si>
  <si>
    <t>Non réouvert dans Excel 2021 FR</t>
  </si>
  <si>
    <t>Point non validé par Excel desktop</t>
  </si>
  <si>
    <t>Liens externes</t>
  </si>
  <si>
    <t>VBA / macros</t>
  </si>
  <si>
    <t>Mode_d_emploi</t>
  </si>
  <si>
    <t>Feuille ajoutée</t>
  </si>
  <si>
    <t>Point contrôlé</t>
  </si>
  <si>
    <t>Contrôle technique réalisé dans cette intervention</t>
  </si>
  <si>
    <t>Pour les dimanches familles, éviter les essais non validés : repas vitrine, enjeu d’image et d’acceptabilité.</t>
  </si>
  <si>
    <t>6</t>
  </si>
  <si>
    <t>Pour les textures modifiées, valider goût, texture, tenue au chaud, densité protéique et sécurité de déglutition selon le protocole interne.</t>
  </si>
  <si>
    <t>5</t>
  </si>
  <si>
    <t>Ne pas utiliser seitan, tofu, lait, œufs ou poisson sans contrôle allergène adapté.</t>
  </si>
  <si>
    <t>4</t>
  </si>
  <si>
    <t>Ne pas confondre diversification des protéines et baisse de qualité nutritionnelle.</t>
  </si>
  <si>
    <t>3</t>
  </si>
  <si>
    <t>Ne pas modifier les formules sans test de cohérence ligne 42 et résumé A61:G68.</t>
  </si>
  <si>
    <t>2</t>
  </si>
  <si>
    <t>Ne pas présenter ce classeur comme validé réglementairement sans contrôle externe.</t>
  </si>
  <si>
    <t>1</t>
  </si>
  <si>
    <t>Règle</t>
  </si>
  <si>
    <t>Règles de prudence avant diffusion</t>
  </si>
  <si>
    <t>Les sources doivent rester visibles.</t>
  </si>
  <si>
    <t>Remplacer ou compléter les URL si le document évolue.</t>
  </si>
  <si>
    <t>Traçabilité documentaire conservée dans le classeur.</t>
  </si>
  <si>
    <t>A72:D76</t>
  </si>
  <si>
    <t>Mettre à jour les sources si nécessaire.</t>
  </si>
  <si>
    <t>Le résumé dépend des paramètres de départ.</t>
  </si>
  <si>
    <t>Contrôler les seuils avant diffusion.</t>
  </si>
  <si>
    <t>Décisions de pilotage : suivi renforcé, priorité mixés, audit allergènes.</t>
  </si>
  <si>
    <t>A61:G68</t>
  </si>
  <si>
    <t>Lire le résumé d’audit.</t>
  </si>
  <si>
    <t>Ne pas fusionner allergène et intolérance.</t>
  </si>
  <si>
    <t>Distinguer allergie au lait et intolérance lactose.</t>
  </si>
  <si>
    <t>Liste des preuves attendues et indicateurs à suivre.</t>
  </si>
  <si>
    <t>A53:I58</t>
  </si>
  <si>
    <t>Vérifier les contrôles allergènes/intolérances.</t>
  </si>
  <si>
    <t>L’économie brute ne suffit pas à valider une recette EHPAD.</t>
  </si>
  <si>
    <t>Vérifier densité protéique, texture, allergènes et acceptabilité.</t>
  </si>
  <si>
    <t>Impact estimé des options sur le coût matière.</t>
  </si>
  <si>
    <t>A45:J50</t>
  </si>
  <si>
    <t>Tester les arbitrages économiques.</t>
  </si>
  <si>
    <t>Les commentaires peuvent être personnalisés.</t>
  </si>
  <si>
    <t>La ligne TOTAL doit rester cohérente avec les KPI annuels.</t>
  </si>
  <si>
    <t>Lecture mensuelle des volumes, alertes et commentaires.</t>
  </si>
  <si>
    <t>A29:P42</t>
  </si>
  <si>
    <t>Suivre les mois.</t>
  </si>
  <si>
    <t>Exemple : seitan = gluten ; tofu = soja.</t>
  </si>
  <si>
    <t>Adapter les exemples aux produits utilisés.</t>
  </si>
  <si>
    <t>Repérage des risques terrain et actions formateur.</t>
  </si>
  <si>
    <t>A19:P24</t>
  </si>
  <si>
    <t>Contrôler les situations sensibles.</t>
  </si>
  <si>
    <t>Un KPI élevé signale une priorité de suivi.</t>
  </si>
  <si>
    <t>Comparer avec les historiques de production.</t>
  </si>
  <si>
    <t>Identification des volumes critiques.</t>
  </si>
  <si>
    <t>E5:H16</t>
  </si>
  <si>
    <t>Lire les KPI annuels.</t>
  </si>
  <si>
    <t>Ne pas modifier les formules des zones KPI.</t>
  </si>
  <si>
    <t>Valeurs cohérentes : jours annuels, dimanches, repas midi/soir.</t>
  </si>
  <si>
    <t>Les KPI annuels se recalculent.</t>
  </si>
  <si>
    <t>B6:B16</t>
  </si>
  <si>
    <t>Renseigner ou vérifier les paramètres de départ.</t>
  </si>
  <si>
    <t>Remarque</t>
  </si>
  <si>
    <t>Contrôle à faire</t>
  </si>
  <si>
    <t>Résultat attendu</t>
  </si>
  <si>
    <t>Action</t>
  </si>
  <si>
    <t>Étape</t>
  </si>
  <si>
    <t>Méthode d’utilisation</t>
  </si>
  <si>
    <t>Source obsolète ou incomplète.</t>
  </si>
  <si>
    <t>Mettre à jour les sources selon besoin.</t>
  </si>
  <si>
    <t>Liens utiles : ma-cantine, Légifrance, Ciqual, Manger Bouger, HAS.</t>
  </si>
  <si>
    <t>Sources / repères</t>
  </si>
  <si>
    <t>Surinterprétation des résultats.</t>
  </si>
  <si>
    <t>Lire les décisions comme alertes de pilotage, pas comme validation définitive.</t>
  </si>
  <si>
    <t>Non sauf adaptation des seuils</t>
  </si>
  <si>
    <t>Décisions selon seuils : suivi renforcé, priorité mixés, traçabilité, renfort dimanche, audit allergènes.</t>
  </si>
  <si>
    <t>Alerte manquée ou vocabulaire confus.</t>
  </si>
  <si>
    <t>Vérifier que les règles moteur correspondent au dictionnaire allergènes réel.</t>
  </si>
  <si>
    <t>Possible</t>
  </si>
  <si>
    <t>Liste les contrôles critiques : gluten/seitan, soja, lait/lactose, œufs, repas mixés, dénutrition.</t>
  </si>
  <si>
    <t>Allergènes / intolérances / mixés</t>
  </si>
  <si>
    <t>Baisse de qualité nutritionnelle ou allergène oublié.</t>
  </si>
  <si>
    <t>Ne pas valider une option uniquement parce qu’elle coûte moins cher.</t>
  </si>
  <si>
    <t>Oui sur hypothèses/coûts/portions</t>
  </si>
  <si>
    <t>Compare coût de référence et options : pois cassés, tofu, seitan, mixé enrichi, dimanche familles.</t>
  </si>
  <si>
    <t>Décalage entre suivi mensuel et KPI.</t>
  </si>
  <si>
    <t>Contrôler la cohérence du total annuel ligne 42.</t>
  </si>
  <si>
    <t>Commentaires oui ; formules non</t>
  </si>
  <si>
    <t>Tableau mensuel calculé : jours, dimanches, volumes, mixés, allergènes, tests, alertes et commentaires.</t>
  </si>
  <si>
    <t>Suivi mensuel</t>
  </si>
  <si>
    <t>Messages trop génériques.</t>
  </si>
  <si>
    <t>Adapter les exemples et actions formateur aux pratiques réelles.</t>
  </si>
  <si>
    <t>Matrice qualitative : repas mixés, lactose, gluten/seitan, allergènes majeurs, dénutrition, dimanche familles, soja/tofu.</t>
  </si>
  <si>
    <t>Situations sensibles</t>
  </si>
  <si>
    <t>Mauvaise lecture des priorités.</t>
  </si>
  <si>
    <t>Comparer avec les volumes réellement servis.</t>
  </si>
  <si>
    <t>Synthèse automatique : repas annuels, mixés estimés, allergènes/intolérances, contrôles, tests végétaux.</t>
  </si>
  <si>
    <t>KPI annuels</t>
  </si>
  <si>
    <t>Indicateurs annuels faux.</t>
  </si>
  <si>
    <t>Vérifier que les volumes et taux correspondent à l’établissement.</t>
  </si>
  <si>
    <t>Saisies alimentant les calculs : repas midi, repas soir, jours, dimanches, taux mixés, taux allergènes/intolérances, objectifs de tests.</t>
  </si>
  <si>
    <t>Paramètres de base</t>
  </si>
  <si>
    <t>Risque si mal renseigné</t>
  </si>
  <si>
    <t>Point de contrôle</t>
  </si>
  <si>
    <t>À modifier ?</t>
  </si>
  <si>
    <t>Plage source</t>
  </si>
  <si>
    <t>Lecture rapide du classeur</t>
  </si>
  <si>
    <t>Outil de simulation et de suivi pédagogique. Il ne remplace pas une validation diététique, médicale, PMS/HACCP ou réglementaire. Les seuils et taux doivent être adaptés à l’établissement.</t>
  </si>
  <si>
    <t>Limite importante</t>
  </si>
  <si>
    <t>Piloter la diversification des protéines sans perdre de vue les contraintes EHPAD : textures modifiées, densité protéique, allergènes, intolérances, acceptabilité résidents/familles et coût matière.</t>
  </si>
  <si>
    <t>Usage principal</t>
  </si>
  <si>
    <t>Ce classeur sert à simuler et suivre, sur 365 jours, les volumes de repas d’un EHPAD ouvert 7j/7 : repas midi/soir, repas mixés, intolérances/allergènes, tests de protéines végétales, dimanches familles et arbitrages économiques. Il transforme quelques paramètres de départ en indicateurs annuels, mensuels et points de contrôle terrain.</t>
  </si>
  <si>
    <t>À quoi sert ce document    Exemple_suivi_EHPAD_365j</t>
  </si>
  <si>
    <t>COÛTS</t>
  </si>
  <si>
    <t>ALLERGÈNES / INTOLÉRANCES</t>
  </si>
  <si>
    <t>TEXTURES MODIFIÉES</t>
  </si>
  <si>
    <t>PROTÉINES</t>
  </si>
  <si>
    <t>SUIVI EHPAD 365 JOURS</t>
  </si>
  <si>
    <t>MODE D’EMPLOI</t>
  </si>
  <si>
    <t>Formules partagées XML</t>
  </si>
  <si>
    <t>Corrigées</t>
  </si>
  <si>
    <t>Les attributs XML de formules partagées de la feuille moteur sont supprimés dans le fichier final ; formules réécrites en formules individuelles.</t>
  </si>
  <si>
    <t>calcChain.xml</t>
  </si>
  <si>
    <t>Absent</t>
  </si>
  <si>
    <t>Chaîne de calcul supprimée pour forcer le recalcul propre à l’ouverture.</t>
  </si>
  <si>
    <t>Non détecté</t>
  </si>
  <si>
    <t>Pas de vbaProject.bin détecté dans l’archive XLSX.</t>
  </si>
  <si>
    <t>Pas de dossier xl/externalLinks détecté dans l’archive XLSX.</t>
  </si>
  <si>
    <t>MODE D’EMPLOI — SUIVI PROTÉINES VÉGÉTALES / RESTAURATION SCOLAIRE</t>
  </si>
  <si>
    <t>Document contrôlé : Exemple_suivi_scolaire</t>
  </si>
  <si>
    <t>Statut : mode d’emploi ajouté + formules partagées XML supprimées après export</t>
  </si>
  <si>
    <t>1. À quoi sert ce document ?</t>
  </si>
  <si>
    <t>Utilité principale</t>
  </si>
  <si>
    <t>Ce classeur sert à simuler et suivre une année de restauration scolaire autour de la diversification des protéines : menus végétariens, légumineuses, soja, seitan/gluten, coût matière, gaspillage et satisfaction.</t>
  </si>
  <si>
    <t>Public visé</t>
  </si>
  <si>
    <t>Gestionnaire, responsable de production, formateur, équipe restauration, ou apprenants travaillant sur EGAlim / diversification des protéines.</t>
  </si>
  <si>
    <t>Ce que le document ne prouve pas seul</t>
  </si>
  <si>
    <t>Il ne valide pas une politique alimentaire complète. Les chiffres sont un exemple réaliste mais fictif : ils doivent être remplacés par les données réelles du site.</t>
  </si>
  <si>
    <t>2. Lecture des zones du classeur</t>
  </si>
  <si>
    <t>Plage</t>
  </si>
  <si>
    <t>Contrôle attendu</t>
  </si>
  <si>
    <t>Risque si mal utilisé</t>
  </si>
  <si>
    <t>Paramètres généraux</t>
  </si>
  <si>
    <t>A4:F14</t>
  </si>
  <si>
    <t>Effectifs, jours de service, semaines, total annuel et indicateurs KPI.</t>
  </si>
  <si>
    <t>Oui, surtout les cellules de saisie à fond jaune.</t>
  </si>
  <si>
    <t>Vérifier total convives/jour, jours annuels et repas annuels.</t>
  </si>
  <si>
    <t>Des effectifs faux faussent tout le volume annuel.</t>
  </si>
  <si>
    <t>Table mensuelle</t>
  </si>
  <si>
    <t>A16:P29</t>
  </si>
  <si>
    <t>Suivi mensuel : semaines servies, jours, repas, menus végétariens, coûts, gaspillage, satisfaction.</t>
  </si>
  <si>
    <t>Oui de A17:P28. Ne pas écraser la ligne TOTAL/MOYENNE.</t>
  </si>
  <si>
    <t>Comparer coût végétal, coût carnée référence, gaspillage et satisfaction.</t>
  </si>
  <si>
    <t>Conclusion trop rapide si on regarde seulement l’économie matière.</t>
  </si>
  <si>
    <t>Diagnostics automatiques</t>
  </si>
  <si>
    <t>T17:AE29</t>
  </si>
  <si>
    <t>Commentaires automatiques par mois : diversification, soja, seitan/gluten, gaspillage, satisfaction, incidence formateur.</t>
  </si>
  <si>
    <t>Non sauf reconstruction du moteur.</t>
  </si>
  <si>
    <t>Lire les alertes allergènes et acceptabilité.</t>
  </si>
  <si>
    <t>Perte du diagnostic si les formules sont écrasées.</t>
  </si>
  <si>
    <t>A32:B38</t>
  </si>
  <si>
    <t>Synthèse annuelle lisible : volume, diversification, économie, acceptabilité, allergènes, vigilance.</t>
  </si>
  <si>
    <t>Non, zone de lecture.</t>
  </si>
  <si>
    <t>S’assurer que les chiffres correspondent aux données saisies.</t>
  </si>
  <si>
    <t>Confondre exemple pédagogique et preuve budgétaire réelle.</t>
  </si>
  <si>
    <t>D32:F39</t>
  </si>
  <si>
    <t>Exemple de plat végétal test et comparaison économique avec une référence carnée.</t>
  </si>
  <si>
    <t>Oui si on veut tester une recette concrète.</t>
  </si>
  <si>
    <t>Inclure coût matière, portions, écart par portion, gaspillage et satisfaction.</t>
  </si>
  <si>
    <t>Sous-estimer le temps agent, la texture ou l’acceptation par les convives.</t>
  </si>
  <si>
    <t>H32:H37</t>
  </si>
  <si>
    <t>Repères réglementaires et nutritionnels à conserver dans le classeur.</t>
  </si>
  <si>
    <t>À compléter avec les liens/source internes du site.</t>
  </si>
  <si>
    <t>Ajouter les sources exactes utilisées.</t>
  </si>
  <si>
    <t>Avoir un outil difficile à défendre en audit ou formation.</t>
  </si>
  <si>
    <t>Lecture formateur</t>
  </si>
  <si>
    <t>B42:B46</t>
  </si>
  <si>
    <t>Message pédagogique : coût, satisfaction, gaspillage, allergènes, diversité.</t>
  </si>
  <si>
    <t>Oui si adaptation à une séance CFA/PRO.</t>
  </si>
  <si>
    <t>Conserver le raisonnement terrain.</t>
  </si>
  <si>
    <t>Message trop générique ou non relié aux données.</t>
  </si>
  <si>
    <t>3. Méthode d’utilisation</t>
  </si>
  <si>
    <t>Cellules / zones</t>
  </si>
  <si>
    <t>Saisir les effectifs et paramètres de service.</t>
  </si>
  <si>
    <t>B5:B14</t>
  </si>
  <si>
    <t>Le total convives/jour, les jours de service et les repas annuels se recalculent.</t>
  </si>
  <si>
    <t>Ne pas modifier les libellés si le moteur est utilisé comme modèle.</t>
  </si>
  <si>
    <t>Renseigner les mois réellement servis.</t>
  </si>
  <si>
    <t>A17:P28</t>
  </si>
  <si>
    <t>Chaque mois alimente les totaux et moyennes.</t>
  </si>
  <si>
    <t>Les mois non servis doivent rester à 0 pour éviter une moyenne fausse.</t>
  </si>
  <si>
    <t>Contrôler les sources de protéines.</t>
  </si>
  <si>
    <t>G:I</t>
  </si>
  <si>
    <t>Légumineuses, soja, seitan/gluten sont visibles mois par mois.</t>
  </si>
  <si>
    <t>Soja = allergène à tracer ; seitan = gluten obligatoire.</t>
  </si>
  <si>
    <t>Comparer le coût, mais sans conclure uniquement sur le prix.</t>
  </si>
  <si>
    <t>J:N</t>
  </si>
  <si>
    <t>Économie ou surcoût matière par mois puis annuel.</t>
  </si>
  <si>
    <t>Une économie peut être annulée par gaspillage, faible satisfaction ou temps agent.</t>
  </si>
  <si>
    <t>Lire les indicateurs d’acceptabilité.</t>
  </si>
  <si>
    <t>O:P</t>
  </si>
  <si>
    <t>Gaspillage moyen et satisfaction moyenne.</t>
  </si>
  <si>
    <t>Gaspillage élevé ou satisfaction basse = recette à retravailler avant déploiement.</t>
  </si>
  <si>
    <t>Exploiter la synthèse formateur.</t>
  </si>
  <si>
    <t>A32:F46 et T:AE</t>
  </si>
  <si>
    <t>Support de débat : coût, nutrition, allergènes, terrain, pédagogie.</t>
  </si>
  <si>
    <t>Les données doivent être expliquées, pas seulement affichées.</t>
  </si>
  <si>
    <t>4. Règles de prudence métier</t>
  </si>
  <si>
    <t>Explication</t>
  </si>
  <si>
    <t>Ne pas confondre végétal et moins cher</t>
  </si>
  <si>
    <t>Le coût matière peut baisser, mais l’intérêt réel dépend aussi du gaspillage, de la satisfaction, du temps de préparation, de la texture, du nom du plat et du plan alimentaire.</t>
  </si>
  <si>
    <t>Tracer les allergènes</t>
  </si>
  <si>
    <t>Le soja doit être suivi comme allergène. Le seitan implique le gluten. Une alternative sans gluten doit être prévue si le public concerné en a besoin.</t>
  </si>
  <si>
    <t>Diversifier les recettes</t>
  </si>
  <si>
    <t>Ne pas rester uniquement sur les lentilles. Alterner pois chiches, haricots rouges/blancs, pois cassés, fèves, tofu, tempeh, lupin ou graines selon public et recette.</t>
  </si>
  <si>
    <t>Former avec les écarts</t>
  </si>
  <si>
    <t>Un mois avec gaspillage élevé ou satisfaction faible est utile pédagogiquement : il montre qu’une recette doit être testée, corrigée, renommée ou reformulée.</t>
  </si>
  <si>
    <t>5. Contrôles techniques appliqués dans cette version</t>
  </si>
  <si>
    <t>Contrôle</t>
  </si>
  <si>
    <t>Formules héritées partagées XML</t>
  </si>
  <si>
    <t>0</t>
  </si>
  <si>
    <t>Les formules partagées XML ont été remplacées par des formules individuelles cellule par cellule.</t>
  </si>
  <si>
    <t>Le fichier ne doit pas conserver une chaîne de calcul obsolète.</t>
  </si>
  <si>
    <t>Le fichier reste au format .xlsx.</t>
  </si>
  <si>
    <t>Aucun lien externe détecté dans le classeur livré.</t>
  </si>
  <si>
    <t>Fonctions modernes interdites</t>
  </si>
  <si>
    <t>0 marqueur fonction moderne / 0 marqueur fonction utilisateur</t>
  </si>
  <si>
    <t>Pas de LET, FILTRE, SEQUENCE, TEXTJOIN ou fonctions dynamiques signalées dans les formules.</t>
  </si>
  <si>
    <t>Réouverture Excel desktop</t>
  </si>
  <si>
    <t>Non contrôlée ici</t>
  </si>
  <si>
    <t>Le fichier est contrôlé par structure XML et import/export. Il n’est pas déclaré validé par ouverture manuelle dans Excel.</t>
  </si>
  <si>
    <t>Auteur : Joel Leboucher • Rochefort sur Mer |  Date : 03 Juin 2026  |  heure : 19h30 |  Document réalisé avec l'aide de ChatGPT 😊</t>
  </si>
  <si>
    <t>MOTEUR PLAN PROTÉINES</t>
  </si>
  <si>
    <t>Restauration collective</t>
  </si>
  <si>
    <t>Lecture PRO/CFA</t>
  </si>
  <si>
    <t>Plan protéines</t>
  </si>
  <si>
    <t>Document analysé</t>
  </si>
  <si>
    <t>MOTEUR_Plan_Protéines.greffé</t>
  </si>
  <si>
    <t>Version ajoutée</t>
  </si>
  <si>
    <t>Mode d’emploi sans formule</t>
  </si>
  <si>
    <t>Objectif principal</t>
  </si>
  <si>
    <t>Analyser un texte libre sur le plan de diversification des protéines en restauration collective.</t>
  </si>
  <si>
    <t>Utilité formateur</t>
  </si>
  <si>
    <t>Repérer les thèmes présents ou absents dans une réponse : diversification, alternatives végétales, coût, gaspillage, acceptabilité, nutrition, texture, sauce, allergènes et production.</t>
  </si>
  <si>
    <t>Lecture PRO</t>
  </si>
  <si>
    <t>La partie historique A:H donne une lecture professionnelle par familles de mots-clés et actions d’audit.</t>
  </si>
  <si>
    <t>Lecture CFA terrain</t>
  </si>
  <si>
    <t>Le greffon I:AB ajoute une lecture plus concrète : mots simples, fautes courantes, ressenti bouche, sauce, restes, convives, production réelle.</t>
  </si>
  <si>
    <t>Ce moteur détecte des déclencheurs textuels. Il aide à former et à questionner ; il ne remplace pas un contrôle réglementaire, nutritionnel ou allergènes validé par un responsable.</t>
  </si>
  <si>
    <t>2. Lecture rapide de la feuille moteur</t>
  </si>
  <si>
    <t>Comment lire</t>
  </si>
  <si>
    <t>Risque si modifié</t>
  </si>
  <si>
    <t>C4</t>
  </si>
  <si>
    <t>Texte à auditer</t>
  </si>
  <si>
    <t>Coller ou saisir ici la réponse à analyser.</t>
  </si>
  <si>
    <t>Faible si on remplace seulement le texte.</t>
  </si>
  <si>
    <t>C5</t>
  </si>
  <si>
    <t>Texte normalisé par le moteur</t>
  </si>
  <si>
    <t>Version simplifiée du texte pour faciliter les détections.</t>
  </si>
  <si>
    <t>Risque de casser la détection.</t>
  </si>
  <si>
    <t>A:H</t>
  </si>
  <si>
    <t>Moteur historique PRO</t>
  </si>
  <si>
    <t>Familles, mots-clés, priorités, détection et message pédagogique.</t>
  </si>
  <si>
    <t>Avec prudence</t>
  </si>
  <si>
    <t>Une suppression peut fausser les résultats.</t>
  </si>
  <si>
    <t>I:O</t>
  </si>
  <si>
    <t>Synthèse CFA terrain</t>
  </si>
  <si>
    <t>Résumé par familles détectées : texture, sauce, gaspillage, acceptabilité, allergènes, nutrition, économie, production.</t>
  </si>
  <si>
    <t>Risque sur la lecture formateur.</t>
  </si>
  <si>
    <t>R:AB</t>
  </si>
  <si>
    <t>Greffon technique CFA</t>
  </si>
  <si>
    <t>Dictionnaire de déclencheurs, poids, messages CFA et conseils formateur.</t>
  </si>
  <si>
    <t>Oui si besoin</t>
  </si>
  <si>
    <t>Ajouter proprement ; ne pas supprimer les colonnes techniques.</t>
  </si>
  <si>
    <t>Lignes 85 et suivantes</t>
  </si>
  <si>
    <t>Synthèses automatiques</t>
  </si>
  <si>
    <t>Lecture par famille, audit automatique et repères sources protéines.</t>
  </si>
  <si>
    <t>Risque de perdre l’audit.</t>
  </si>
  <si>
    <t>Étape 1</t>
  </si>
  <si>
    <t>Dupliquer le fichier avant modification si le moteur doit servir de base de travail.</t>
  </si>
  <si>
    <t>Étape 2</t>
  </si>
  <si>
    <t>Remplacer uniquement le texte de la cellule C4 par la réponse à auditer.</t>
  </si>
  <si>
    <t>Étape 3</t>
  </si>
  <si>
    <t>Lire les OUI / Détecté dans les zones PRO et CFA. Ne pas conclure sur un seul mot-clé.</t>
  </si>
  <si>
    <t>Étape 4</t>
  </si>
  <si>
    <t>Lire les messages pédagogiques : ils indiquent ce que l’apprenant a repéré et ce qu’il faut faire préciser.</t>
  </si>
  <si>
    <t>Étape 5</t>
  </si>
  <si>
    <t>Utiliser l’audit automatique pour préparer une relance formateur : coût réel, acceptabilité, allergènes, texture, sauce, nutrition, production.</t>
  </si>
  <si>
    <t>Étape 6</t>
  </si>
  <si>
    <t>Compléter le dictionnaire seulement si une notion importante n’est pas détectée : nouveau mot-clé, famille, poids, message CFA, conseil formateur.</t>
  </si>
  <si>
    <t>4. Ce que le moteur doit faire comprendre</t>
  </si>
  <si>
    <t>Un plan protéines ne se réduit pas à remplacer la viande : il faut organiser une progression, des essais, des retours convives et des corrections.</t>
  </si>
  <si>
    <t>Le coût doit intégrer coût portion, temps de préparation, pertes, gaspillage, main-d’œuvre et acceptabilité réelle.</t>
  </si>
  <si>
    <t>La communication doit éviter l’opposition viande/végétal et la culpabilisation des convives.</t>
  </si>
  <si>
    <t>Le résultat dépend aussi du trempage, de la cuisson, du maintien au chaud, de la sauce, de la texture et du service.</t>
  </si>
  <si>
    <t>Seitan = gluten ; soja, lupin, sésame, fruits à coque ou autres allergènes doivent être contrôlés avant généralisation.</t>
  </si>
  <si>
    <t>Un plat végétal doit rester un plat complet : source protéique réelle, complémentarité, légumes, garniture et équilibre.</t>
  </si>
  <si>
    <t>5. Points de vigilance</t>
  </si>
  <si>
    <t>Détection par mots</t>
  </si>
  <si>
    <t>Le moteur ne comprend pas toute la phrase comme un humain : il repère surtout des termes ou expressions prévues dans les dictionnaires.</t>
  </si>
  <si>
    <t>Synonymes</t>
  </si>
  <si>
    <t>Un mot absent du dictionnaire peut ne pas être détecté. Exemple : une formulation nouvelle peut nécessiter un ajout propre.</t>
  </si>
  <si>
    <t>Orthographe terrain</t>
  </si>
  <si>
    <t>Le greffon CFA peut intégrer des fautes courantes, mais il ne couvrira jamais toutes les variantes possibles.</t>
  </si>
  <si>
    <t>Contrôle humain</t>
  </si>
  <si>
    <t>Les décisions sur allergènes, nutrition, conformité, coût réel et organisation production doivent être validées par un professionnel.</t>
  </si>
  <si>
    <t>6. Règles de modification conseillées</t>
  </si>
  <si>
    <t>Ne pas fusionner</t>
  </si>
  <si>
    <t>Conserver des cellules simples pour faciliter les copies, les audits XML et la maintenance.</t>
  </si>
  <si>
    <t>Pas de VBA</t>
  </si>
  <si>
    <t>Le classeur reste utilisable sans macro.</t>
  </si>
  <si>
    <t>Pas de formules dynamiques</t>
  </si>
  <si>
    <t>Conserver une logique compatible Excel 2021 : pas de LET, FILTRE, SEQUENCE, TEXTJOIN/JOINDRE.TEXTE.</t>
  </si>
  <si>
    <t>Formules individuelles</t>
  </si>
  <si>
    <t>Les formules du moteur doivent être enregistrées cellule par cellule, sans formules partagées XML héritées.</t>
  </si>
  <si>
    <t>Tester après modification</t>
  </si>
  <si>
    <t>Après ajout de mots-clés, tester une réponse qui doit déclencher le mot et une réponse qui ne doit pas le déclencher.</t>
  </si>
  <si>
    <t>7. Mini-protocole de test métier</t>
  </si>
  <si>
    <t>Test allergène</t>
  </si>
  <si>
    <t>Saisir un texte avec seitan : le moteur doit alerter sur le gluten.</t>
  </si>
  <si>
    <t>Test économie</t>
  </si>
  <si>
    <t>Saisir coût portion + gaspillage + temps de préparation : le moteur doit faire ressortir l’arbitrage économique complet.</t>
  </si>
  <si>
    <t>Test acceptabilité</t>
  </si>
  <si>
    <t>Saisir refus convives / pas aimé / assiettes pleines : le moteur doit orienter vers acceptabilité, goût, texture ou présentation.</t>
  </si>
  <si>
    <t>Test production</t>
  </si>
  <si>
    <t>Saisir maintien au chaud / sauce courte / trop sec : le moteur doit orienter vers correction technique.</t>
  </si>
  <si>
    <t>8. Statut de cette feuille</t>
  </si>
  <si>
    <t>Formules dans cette feuille</t>
  </si>
  <si>
    <t>Aucune formule ajoutée : uniquement du texte de documentation.</t>
  </si>
  <si>
    <t>Usage</t>
  </si>
  <si>
    <t>Feuille destinée à être conservée avec le moteur pour aider un utilisateur ou un formateur à comprendre l’outil.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</si>
</sst>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164" formatCode="#,##0.00\ \€"/>
    <numFmt numFmtId="165" formatCode="\€\ #,##0"/>
    <numFmt numFmtId="166" formatCode="0.0"/>
    <numFmt numFmtId="167" formatCode="\€\ #,##0.00"/>
    <numFmt numFmtId="168" formatCode="#\ ##0"/>
    <numFmt numFmtId="169" formatCode="#\ ##0\ \€"/>
    <numFmt numFmtId="170" formatCode="0.00\ \€"/>
    <numFmt numFmtId="171" formatCode="[$-F800]dddd\,\ mmmm\ dd\,\ yyyy"/>
    <numFmt numFmtId="172" formatCode="[$-40C]d\-mmm\-yy;@"/>
    <numFmt numFmtId="173" formatCode="&quot;Vrai&quot;;&quot;Vrai&quot;;&quot;Faux&quot;"/>
    <numFmt numFmtId="174" formatCode="&quot;Actif&quot;;&quot;Actif&quot;;&quot;Inactif&quot;"/>
    <numFmt numFmtId="175" formatCode="0.000&quot; Kg&quot;"/>
    <numFmt numFmtId="176" formatCode="&quot;=UNICAR(128269)&quot;"/>
    <numFmt numFmtId="177" formatCode="#,##0&quot; gr&quot;"/>
    <numFmt numFmtId="178" formatCode="#,##0.000&quot; kg&quot;"/>
    <numFmt numFmtId="179" formatCode="&quot;de &quot;#,##0.000&quot; kg&quot;"/>
    <numFmt numFmtId="180" formatCode="&quot;de &quot;0.00&quot; Kg&quot;"/>
    <numFmt numFmtId="181" formatCode="0.000\K\g"/>
    <numFmt numFmtId="182" formatCode="&quot;Poids portion&quot;\ 0.000&quot; Kg&quot;"/>
    <numFmt numFmtId="183" formatCode="#,##0&quot; cl&quot;"/>
    <numFmt numFmtId="184" formatCode="0.00\ &quot; cm³&quot;"/>
    <numFmt numFmtId="185" formatCode="0.000\ &quot; dm³&quot;"/>
    <numFmt numFmtId="186" formatCode="0.000&quot; L&quot;"/>
    <numFmt numFmtId="187" formatCode="0&quot; lignes&quot;"/>
    <numFmt numFmtId="188" formatCode="0&quot; jours&quot;"/>
    <numFmt numFmtId="189" formatCode="0&quot; H&quot;"/>
    <numFmt numFmtId="190" formatCode="0.0&quot; %&quot;"/>
    <numFmt numFmtId="191" formatCode="&quot;N° &quot;0"/>
    <numFmt numFmtId="192" formatCode="&quot;Col.&quot;0"/>
    <numFmt numFmtId="193" formatCode="0.0&quot; mm&quot;"/>
    <numFmt numFmtId="194" formatCode="0.00&quot; cm&quot;"/>
    <numFmt numFmtId="195" formatCode="0.00\ &quot; cm²&quot;"/>
    <numFmt numFmtId="196" formatCode="0.00&quot; Kg&quot;"/>
    <numFmt numFmtId="197" formatCode="0&quot;%&quot;"/>
    <numFmt numFmtId="198" formatCode="0.0&quot; Kg&quot;"/>
    <numFmt numFmtId="199" formatCode="&quot;de &quot;0"/>
    <numFmt numFmtId="200" formatCode="#,##0.00\ &quot;€&quot;"/>
    <numFmt numFmtId="201" formatCode="0.00&quot;Kg&quot;"/>
    <numFmt numFmtId="202" formatCode="0.0%"/>
    <numFmt numFmtId="203" formatCode="0.000&quot;Kg&quot;"/>
    <numFmt numFmtId="204" formatCode="0.000"/>
    <numFmt numFmtId="205" formatCode="0.0000"/>
  </numFmts>
  <fonts count="251" x14ac:knownFonts="1">
    <font>
      <sz val="11"/>
      <color theme="1"/>
      <name val="Calibri"/>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Calibri"/>
      <family val="2"/>
    </font>
    <font>
      <sz val="12"/>
      <color rgb="FF1F1F1F"/>
      <name val="Calibri"/>
      <family val="2"/>
    </font>
    <font>
      <sz val="12"/>
      <color theme="1"/>
      <name val="Calibri"/>
      <family val="2"/>
    </font>
    <font>
      <b/>
      <sz val="12"/>
      <color rgb="FF1F1F1F"/>
      <name val="Calibri"/>
      <family val="2"/>
    </font>
    <font>
      <b/>
      <sz val="14"/>
      <color rgb="FF1F1F1F"/>
      <name val="Calibri"/>
      <family val="2"/>
    </font>
    <font>
      <sz val="11"/>
      <color rgb="FF1F1F1F"/>
      <name val="Calibri"/>
      <family val="2"/>
    </font>
    <font>
      <b/>
      <sz val="14"/>
      <name val="Calibri"/>
      <family val="2"/>
    </font>
    <font>
      <sz val="12"/>
      <name val="Calibri"/>
      <family val="2"/>
    </font>
    <font>
      <sz val="11"/>
      <color theme="1"/>
      <name val="Calibri"/>
      <family val="2"/>
    </font>
    <font>
      <b/>
      <sz val="14"/>
      <color rgb="FF1F2937"/>
      <name val="Calibri"/>
      <family val="2"/>
    </font>
    <font>
      <b/>
      <sz val="12"/>
      <color rgb="FF1F2937"/>
      <name val="Calibri"/>
      <family val="2"/>
    </font>
    <font>
      <sz val="12"/>
      <color theme="1"/>
      <name val="Calibri"/>
      <family val="2"/>
    </font>
    <font>
      <sz val="12"/>
      <color rgb="FF1F2937"/>
      <name val="Calibri"/>
      <family val="2"/>
    </font>
    <font>
      <b/>
      <sz val="12"/>
      <color rgb="FFC00000"/>
      <name val="Calibri"/>
      <family val="2"/>
    </font>
    <font>
      <b/>
      <sz val="11"/>
      <color theme="1"/>
      <name val="Calibri"/>
      <family val="2"/>
    </font>
    <font>
      <b/>
      <sz val="12"/>
      <color rgb="FF1F1F1F"/>
      <name val="Calibri"/>
      <family val="2"/>
    </font>
    <font>
      <b/>
      <sz val="12"/>
      <color theme="1"/>
      <name val="Calibri"/>
      <family val="2"/>
    </font>
    <font>
      <sz val="12"/>
      <color rgb="FF1F1F1F"/>
      <name val="Calibri"/>
      <family val="2"/>
    </font>
    <font>
      <b/>
      <sz val="14"/>
      <color rgb="FFC00000"/>
      <name val="Calibri"/>
      <family val="2"/>
    </font>
    <font>
      <b/>
      <sz val="16"/>
      <color rgb="FF1F4E79"/>
      <name val="Calibri"/>
      <family val="2"/>
    </font>
    <font>
      <b/>
      <sz val="16"/>
      <color theme="1"/>
      <name val="Calibri"/>
      <family val="2"/>
    </font>
    <font>
      <sz val="10"/>
      <name val="Arial"/>
      <family val="2"/>
    </font>
    <font>
      <sz val="12"/>
      <color theme="1"/>
      <name val="Calibri"/>
      <family val="2"/>
      <scheme val="minor"/>
    </font>
    <font>
      <sz val="14"/>
      <color theme="0"/>
      <name val="Calibri"/>
      <family val="2"/>
      <scheme val="minor"/>
    </font>
    <font>
      <b/>
      <sz val="14"/>
      <color theme="0"/>
      <name val="Calibri"/>
      <family val="2"/>
      <scheme val="minor"/>
    </font>
    <font>
      <b/>
      <i/>
      <sz val="12"/>
      <color rgb="FF374151"/>
      <name val="Calibri"/>
      <family val="2"/>
    </font>
    <font>
      <i/>
      <sz val="10"/>
      <color rgb="FF374151"/>
      <name val="Calibri"/>
      <family val="2"/>
    </font>
    <font>
      <sz val="12"/>
      <color rgb="FF111827"/>
      <name val="Calibri"/>
      <family val="2"/>
    </font>
    <font>
      <b/>
      <sz val="12"/>
      <color rgb="FF111827"/>
      <name val="Calibri"/>
      <family val="2"/>
    </font>
    <font>
      <b/>
      <sz val="12"/>
      <color rgb="FF0066CC"/>
      <name val="Calibri"/>
      <family val="2"/>
    </font>
    <font>
      <sz val="10"/>
      <color rgb="FF111827"/>
      <name val="Calibri"/>
      <family val="2"/>
    </font>
    <font>
      <b/>
      <sz val="11"/>
      <color rgb="FFC00000"/>
      <name val="Calibri"/>
      <family val="2"/>
    </font>
    <font>
      <b/>
      <sz val="12"/>
      <color rgb="FF1F4E5F"/>
      <name val="Calibri"/>
      <family val="2"/>
    </font>
    <font>
      <b/>
      <sz val="12"/>
      <color rgb="FF234F1E"/>
      <name val="Calibri"/>
      <family val="2"/>
    </font>
    <font>
      <b/>
      <sz val="12"/>
      <color rgb="FF7F3F00"/>
      <name val="Calibri"/>
      <family val="2"/>
    </font>
    <font>
      <sz val="12"/>
      <name val="Calibri"/>
      <family val="2"/>
      <scheme val="minor"/>
    </font>
    <font>
      <sz val="8"/>
      <name val="Calibri"/>
      <family val="2"/>
    </font>
    <font>
      <sz val="12"/>
      <color rgb="FF78350F"/>
      <name val="Calibri"/>
      <family val="2"/>
      <scheme val="minor"/>
    </font>
    <font>
      <b/>
      <sz val="12"/>
      <color rgb="FF92400E"/>
      <name val="Calibri"/>
      <family val="2"/>
      <scheme val="minor"/>
    </font>
    <font>
      <b/>
      <sz val="11"/>
      <color rgb="FF0033CC"/>
      <name val="Calibri"/>
      <family val="2"/>
      <scheme val="minor"/>
    </font>
    <font>
      <b/>
      <sz val="12"/>
      <color rgb="FF0033CC"/>
      <name val="Calibri"/>
      <family val="2"/>
      <scheme val="minor"/>
    </font>
    <font>
      <sz val="12"/>
      <color rgb="FF475569"/>
      <name val="Calibri"/>
      <family val="2"/>
      <scheme val="minor"/>
    </font>
    <font>
      <sz val="12"/>
      <color rgb="FF0E7490"/>
      <name val="Calibri"/>
      <family val="2"/>
      <scheme val="minor"/>
    </font>
    <font>
      <sz val="12"/>
      <color rgb="FF1F2937"/>
      <name val="Calibri"/>
      <family val="2"/>
      <scheme val="minor"/>
    </font>
    <font>
      <b/>
      <sz val="12"/>
      <color rgb="FF0F766E"/>
      <name val="Calibri"/>
      <family val="2"/>
      <scheme val="minor"/>
    </font>
    <font>
      <b/>
      <sz val="12"/>
      <color rgb="FFFFFFFF"/>
      <name val="Calibri"/>
      <family val="2"/>
      <scheme val="minor"/>
    </font>
    <font>
      <sz val="10"/>
      <color rgb="FF1F2937"/>
      <name val="Calibri"/>
      <family val="2"/>
      <scheme val="minor"/>
    </font>
    <font>
      <b/>
      <sz val="12"/>
      <color rgb="FF1F2937"/>
      <name val="Calibri"/>
      <family val="2"/>
      <scheme val="minor"/>
    </font>
    <font>
      <b/>
      <sz val="12"/>
      <color rgb="FF334155"/>
      <name val="Calibri"/>
      <family val="2"/>
      <scheme val="minor"/>
    </font>
    <font>
      <b/>
      <sz val="14"/>
      <color rgb="FF334155"/>
      <name val="Calibri"/>
      <family val="2"/>
      <scheme val="minor"/>
    </font>
    <font>
      <sz val="12"/>
      <color rgb="FF334155"/>
      <name val="Calibri"/>
      <family val="2"/>
      <scheme val="minor"/>
    </font>
    <font>
      <b/>
      <sz val="14"/>
      <color rgb="FFFFFFFF"/>
      <name val="Calibri"/>
      <family val="2"/>
      <scheme val="minor"/>
    </font>
    <font>
      <b/>
      <sz val="12"/>
      <color rgb="FF0F172A"/>
      <name val="Calibri"/>
      <family val="2"/>
      <scheme val="minor"/>
    </font>
    <font>
      <sz val="12"/>
      <color rgb="FFC00000"/>
      <name val="Calibri"/>
      <family val="2"/>
      <scheme val="minor"/>
    </font>
    <font>
      <b/>
      <sz val="12"/>
      <color rgb="FF065F46"/>
      <name val="Calibri"/>
      <family val="2"/>
      <scheme val="minor"/>
    </font>
    <font>
      <sz val="12"/>
      <color theme="9" tint="-0.499984740745262"/>
      <name val="Calibri"/>
      <family val="2"/>
      <scheme val="minor"/>
    </font>
    <font>
      <b/>
      <sz val="18"/>
      <color rgb="FFFFFFFF"/>
      <name val="Calibri"/>
      <family val="2"/>
      <scheme val="minor"/>
    </font>
    <font>
      <b/>
      <sz val="11"/>
      <color rgb="FF24443B"/>
      <name val="Calibri"/>
      <family val="2"/>
      <scheme val="minor"/>
    </font>
    <font>
      <b/>
      <sz val="12"/>
      <color rgb="FF5B3B16"/>
      <name val="Calibri"/>
      <family val="2"/>
      <scheme val="minor"/>
    </font>
    <font>
      <sz val="12"/>
      <color rgb="FF1F2933"/>
      <name val="Calibri"/>
      <family val="2"/>
      <scheme val="minor"/>
    </font>
    <font>
      <b/>
      <sz val="12"/>
      <color theme="9" tint="-0.249977111117893"/>
      <name val="Calibri"/>
      <family val="2"/>
      <scheme val="minor"/>
    </font>
    <font>
      <b/>
      <sz val="12"/>
      <color rgb="FFC00000"/>
      <name val="Calibri"/>
      <family val="2"/>
      <scheme val="minor"/>
    </font>
    <font>
      <b/>
      <sz val="12"/>
      <color rgb="FF24443B"/>
      <name val="Calibri"/>
      <family val="2"/>
      <scheme val="minor"/>
    </font>
    <font>
      <b/>
      <sz val="12"/>
      <color rgb="FF6B1F1F"/>
      <name val="Calibri"/>
      <family val="2"/>
      <scheme val="minor"/>
    </font>
    <font>
      <b/>
      <sz val="12"/>
      <color rgb="FF1F3A5A"/>
      <name val="Calibri"/>
      <family val="2"/>
      <scheme val="minor"/>
    </font>
    <font>
      <b/>
      <sz val="12"/>
      <color rgb="FF1F2933"/>
      <name val="Calibri"/>
      <family val="2"/>
      <scheme val="minor"/>
    </font>
    <font>
      <b/>
      <sz val="11"/>
      <color rgb="FFFFFFFF"/>
      <name val="Calibri"/>
      <family val="2"/>
      <scheme val="minor"/>
    </font>
    <font>
      <b/>
      <sz val="12"/>
      <color rgb="FF0F2B46"/>
      <name val="Calibri"/>
      <family val="2"/>
      <scheme val="minor"/>
    </font>
    <font>
      <sz val="12"/>
      <color rgb="FF0F2B46"/>
      <name val="Calibri"/>
      <family val="2"/>
      <scheme val="minor"/>
    </font>
    <font>
      <b/>
      <sz val="12"/>
      <color rgb="FF533F03"/>
      <name val="Calibri"/>
      <family val="2"/>
      <scheme val="minor"/>
    </font>
    <font>
      <sz val="11"/>
      <color rgb="FF0066FF"/>
      <name val="Calibri"/>
      <family val="2"/>
      <scheme val="minor"/>
    </font>
    <font>
      <sz val="11"/>
      <color rgb="FF1F2933"/>
      <name val="Calibri"/>
      <family val="2"/>
      <scheme val="minor"/>
    </font>
    <font>
      <b/>
      <sz val="12"/>
      <color rgb="FF0066FF"/>
      <name val="Calibri"/>
      <family val="2"/>
      <scheme val="minor"/>
    </font>
    <font>
      <b/>
      <sz val="11"/>
      <color rgb="FF0066FF"/>
      <name val="Calibri"/>
      <family val="2"/>
      <scheme val="minor"/>
    </font>
    <font>
      <b/>
      <sz val="11"/>
      <color theme="9" tint="-0.249977111117893"/>
      <name val="Calibri"/>
      <family val="2"/>
      <scheme val="minor"/>
    </font>
    <font>
      <b/>
      <sz val="11"/>
      <color rgb="FF7030A0"/>
      <name val="Calibri"/>
      <family val="2"/>
      <scheme val="minor"/>
    </font>
    <font>
      <sz val="11"/>
      <name val="Carlito"/>
      <family val="2"/>
    </font>
    <font>
      <b/>
      <sz val="12"/>
      <color theme="5" tint="-0.499984740745262"/>
      <name val="Calibri"/>
      <family val="2"/>
      <scheme val="minor"/>
    </font>
    <font>
      <b/>
      <sz val="12"/>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4"/>
      <name val="Calibri"/>
      <family val="2"/>
      <scheme val="minor"/>
    </font>
    <font>
      <b/>
      <sz val="14"/>
      <name val="Calibri"/>
      <family val="2"/>
      <scheme val="minor"/>
    </font>
    <font>
      <b/>
      <sz val="8"/>
      <color theme="0"/>
      <name val="Calibri"/>
      <family val="2"/>
      <scheme val="minor"/>
    </font>
    <font>
      <b/>
      <sz val="10"/>
      <name val="Calibri"/>
      <family val="2"/>
      <scheme val="minor"/>
    </font>
    <font>
      <b/>
      <sz val="10"/>
      <color theme="0"/>
      <name val="Calibri"/>
      <family val="2"/>
      <scheme val="minor"/>
    </font>
    <font>
      <b/>
      <sz val="12"/>
      <color theme="1"/>
      <name val="Calibri"/>
      <family val="2"/>
      <scheme val="minor"/>
    </font>
    <font>
      <b/>
      <sz val="16"/>
      <color theme="0"/>
      <name val="Calibri"/>
      <family val="2"/>
    </font>
    <font>
      <b/>
      <sz val="12"/>
      <color theme="0"/>
      <name val="Calibri"/>
      <family val="2"/>
    </font>
    <font>
      <b/>
      <sz val="14"/>
      <color theme="0"/>
      <name val="Calibri"/>
      <family val="2"/>
    </font>
    <font>
      <sz val="11"/>
      <color rgb="FFB40000"/>
      <name val="Calibri"/>
      <family val="2"/>
    </font>
    <font>
      <b/>
      <sz val="14"/>
      <name val="Calibri"/>
      <family val="2"/>
    </font>
    <font>
      <sz val="12"/>
      <color theme="0"/>
      <name val="Calibri"/>
      <family val="2"/>
      <scheme val="minor"/>
    </font>
    <font>
      <sz val="12"/>
      <color theme="0"/>
      <name val="Calibri"/>
      <family val="2"/>
    </font>
    <font>
      <b/>
      <sz val="18"/>
      <color theme="0"/>
      <name val="Calibri"/>
      <family val="2"/>
      <scheme val="minor"/>
    </font>
    <font>
      <b/>
      <i/>
      <sz val="11"/>
      <color theme="0"/>
      <name val="Calibri"/>
      <family val="2"/>
      <scheme val="minor"/>
    </font>
    <font>
      <b/>
      <sz val="17"/>
      <color theme="0"/>
      <name val="Calibri"/>
      <family val="2"/>
      <scheme val="minor"/>
    </font>
    <font>
      <b/>
      <sz val="12"/>
      <color theme="0"/>
      <name val="Calibri"/>
      <family val="2"/>
      <scheme val="minor"/>
    </font>
    <font>
      <b/>
      <sz val="10"/>
      <color theme="0"/>
      <name val="Calibri"/>
      <family val="2"/>
    </font>
    <font>
      <sz val="11"/>
      <color theme="0"/>
      <name val="Calibri"/>
      <family val="2"/>
    </font>
    <font>
      <b/>
      <sz val="11"/>
      <color theme="0"/>
      <name val="Calibri"/>
      <family val="2"/>
    </font>
    <font>
      <b/>
      <sz val="16"/>
      <color theme="0"/>
      <name val="Calibri"/>
      <family val="2"/>
      <scheme val="minor"/>
    </font>
    <font>
      <b/>
      <sz val="12"/>
      <color theme="1" tint="0.249977111117893"/>
      <name val="Calibri"/>
      <family val="2"/>
    </font>
    <font>
      <b/>
      <i/>
      <sz val="12"/>
      <color rgb="FF1F2933"/>
      <name val="Calibri"/>
      <family val="2"/>
      <scheme val="minor"/>
    </font>
    <font>
      <sz val="12"/>
      <color rgb="FF111827"/>
      <name val="Calibri"/>
      <family val="2"/>
      <scheme val="minor"/>
    </font>
    <font>
      <sz val="11"/>
      <color rgb="FF833C0C"/>
      <name val="Calibri"/>
      <family val="2"/>
    </font>
    <font>
      <sz val="11"/>
      <color rgb="FF375623"/>
      <name val="Calibri"/>
      <family val="2"/>
    </font>
    <font>
      <b/>
      <sz val="16"/>
      <color rgb="FF1F2933"/>
      <name val="Calibri"/>
      <family val="2"/>
      <scheme val="minor"/>
    </font>
    <font>
      <b/>
      <sz val="11"/>
      <color rgb="FF1F2933"/>
      <name val="Calibri"/>
      <family val="2"/>
      <scheme val="minor"/>
    </font>
    <font>
      <sz val="12"/>
      <color rgb="FF222222"/>
      <name val="Calibri"/>
      <family val="2"/>
      <scheme val="minor"/>
    </font>
    <font>
      <b/>
      <sz val="12"/>
      <color rgb="FF1F1F1F"/>
      <name val="Calibri"/>
      <family val="2"/>
      <scheme val="minor"/>
    </font>
    <font>
      <b/>
      <sz val="14"/>
      <color rgb="FF0F766E"/>
      <name val="Calibri"/>
      <family val="2"/>
      <scheme val="minor"/>
    </font>
    <font>
      <sz val="12"/>
      <color rgb="FF333333"/>
      <name val="Calibri"/>
      <family val="2"/>
      <scheme val="minor"/>
    </font>
    <font>
      <sz val="11"/>
      <color rgb="FF1F2933"/>
      <name val="Calibri"/>
      <family val="2"/>
    </font>
    <font>
      <sz val="11"/>
      <name val="Calibri"/>
      <family val="2"/>
    </font>
    <font>
      <sz val="18"/>
      <color theme="1"/>
      <name val="Calibri"/>
      <family val="2"/>
      <scheme val="minor"/>
    </font>
    <font>
      <b/>
      <sz val="18"/>
      <color theme="1"/>
      <name val="Calibri"/>
      <family val="2"/>
      <scheme val="minor"/>
    </font>
    <font>
      <b/>
      <sz val="16"/>
      <color rgb="FF7030A0"/>
      <name val="Calibri"/>
      <family val="2"/>
    </font>
    <font>
      <sz val="8"/>
      <color theme="0" tint="-0.14999847407452621"/>
      <name val="Calibri"/>
      <family val="2"/>
      <scheme val="minor"/>
    </font>
    <font>
      <sz val="8"/>
      <color theme="0" tint="-0.249977111117893"/>
      <name val="Calibri"/>
      <family val="2"/>
      <scheme val="minor"/>
    </font>
    <font>
      <sz val="8"/>
      <color theme="0"/>
      <name val="Calibri"/>
      <family val="2"/>
      <scheme val="minor"/>
    </font>
    <font>
      <b/>
      <sz val="11"/>
      <color indexed="9"/>
      <name val="Calibri"/>
      <family val="2"/>
      <scheme val="minor"/>
    </font>
    <font>
      <b/>
      <sz val="11"/>
      <color rgb="FFFFC000"/>
      <name val="Calibri"/>
      <family val="2"/>
      <scheme val="minor"/>
    </font>
    <font>
      <b/>
      <sz val="11"/>
      <color rgb="FFFFFF00"/>
      <name val="Calibri"/>
      <family val="2"/>
      <scheme val="minor"/>
    </font>
    <font>
      <b/>
      <sz val="12"/>
      <color rgb="FFFFFF00"/>
      <name val="Calibri"/>
      <family val="2"/>
      <scheme val="minor"/>
    </font>
    <font>
      <b/>
      <sz val="12"/>
      <color rgb="FFFFC000"/>
      <name val="Calibri"/>
      <family val="2"/>
      <scheme val="minor"/>
    </font>
    <font>
      <sz val="14"/>
      <name val="Segoe Print"/>
    </font>
    <font>
      <b/>
      <sz val="14"/>
      <name val="Segoe Print"/>
    </font>
    <font>
      <i/>
      <sz val="11"/>
      <name val="Calibri"/>
      <family val="2"/>
      <scheme val="minor"/>
    </font>
    <font>
      <b/>
      <i/>
      <sz val="14"/>
      <name val="Calibri"/>
      <family val="2"/>
      <scheme val="minor"/>
    </font>
    <font>
      <u/>
      <sz val="11"/>
      <color theme="10"/>
      <name val="Calibri"/>
      <family val="2"/>
      <scheme val="minor"/>
    </font>
    <font>
      <u/>
      <sz val="14"/>
      <color theme="10"/>
      <name val="Calibri"/>
      <family val="2"/>
      <scheme val="minor"/>
    </font>
    <font>
      <sz val="18"/>
      <color rgb="FF0000FF"/>
      <name val="Calibri"/>
      <family val="2"/>
      <scheme val="minor"/>
    </font>
    <font>
      <b/>
      <sz val="14"/>
      <color theme="1"/>
      <name val="Calibri"/>
      <family val="2"/>
      <scheme val="minor"/>
    </font>
    <font>
      <sz val="9"/>
      <color theme="0"/>
      <name val="Calibri"/>
      <family val="2"/>
      <scheme val="minor"/>
    </font>
    <font>
      <sz val="11"/>
      <color theme="4" tint="0.39997558519241921"/>
      <name val="Calibri"/>
      <family val="2"/>
      <scheme val="minor"/>
    </font>
    <font>
      <b/>
      <sz val="12"/>
      <color rgb="FF0000FF"/>
      <name val="Calibri"/>
      <family val="2"/>
      <scheme val="minor"/>
    </font>
    <font>
      <b/>
      <sz val="12"/>
      <color rgb="FFFF0000"/>
      <name val="Calibri"/>
      <family val="2"/>
      <scheme val="minor"/>
    </font>
    <font>
      <u/>
      <sz val="12"/>
      <color theme="10"/>
      <name val="Calibri"/>
      <family val="2"/>
      <scheme val="minor"/>
    </font>
    <font>
      <sz val="12"/>
      <color theme="9" tint="-0.249977111117893"/>
      <name val="Calibri"/>
      <family val="2"/>
      <scheme val="minor"/>
    </font>
    <font>
      <sz val="11"/>
      <color theme="9" tint="-0.249977111117893"/>
      <name val="Calibri"/>
      <family val="2"/>
      <scheme val="minor"/>
    </font>
    <font>
      <sz val="10"/>
      <name val="Calibri"/>
      <family val="2"/>
      <scheme val="minor"/>
    </font>
    <font>
      <b/>
      <sz val="8"/>
      <name val="Calibri"/>
      <family val="2"/>
      <scheme val="minor"/>
    </font>
    <font>
      <sz val="8"/>
      <color theme="1"/>
      <name val="Calibri"/>
      <family val="2"/>
      <scheme val="minor"/>
    </font>
    <font>
      <sz val="11"/>
      <color rgb="FF0033CC"/>
      <name val="Calibri"/>
      <family val="2"/>
      <scheme val="minor"/>
    </font>
    <font>
      <sz val="10"/>
      <color theme="1"/>
      <name val="Calibri"/>
      <family val="2"/>
      <scheme val="minor"/>
    </font>
    <font>
      <b/>
      <sz val="14"/>
      <color rgb="FF7030A0"/>
      <name val="Calibri"/>
      <family val="2"/>
      <scheme val="minor"/>
    </font>
    <font>
      <b/>
      <u/>
      <sz val="14"/>
      <color theme="10"/>
      <name val="Calibri"/>
      <family val="2"/>
      <scheme val="minor"/>
    </font>
    <font>
      <sz val="11"/>
      <color rgb="FF0070C0"/>
      <name val="Calibri"/>
      <family val="2"/>
      <scheme val="minor"/>
    </font>
    <font>
      <sz val="11"/>
      <color theme="1"/>
      <name val="Segoe Print"/>
    </font>
    <font>
      <sz val="26"/>
      <color theme="7" tint="-0.249977111117893"/>
      <name val="Calibri"/>
      <family val="2"/>
      <scheme val="minor"/>
    </font>
    <font>
      <b/>
      <sz val="22"/>
      <color theme="9" tint="-0.249977111117893"/>
      <name val="Calibri"/>
      <family val="2"/>
      <scheme val="minor"/>
    </font>
    <font>
      <sz val="8"/>
      <name val="Arial"/>
      <family val="2"/>
    </font>
    <font>
      <b/>
      <sz val="10"/>
      <color theme="9" tint="-0.499984740745262"/>
      <name val="Calibri"/>
      <family val="2"/>
      <scheme val="minor"/>
    </font>
    <font>
      <sz val="10"/>
      <color theme="9" tint="-0.499984740745262"/>
      <name val="Calibri"/>
      <family val="2"/>
      <scheme val="minor"/>
    </font>
    <font>
      <b/>
      <sz val="10"/>
      <color theme="5" tint="-0.249977111117893"/>
      <name val="Calibri"/>
      <family val="2"/>
      <scheme val="minor"/>
    </font>
    <font>
      <sz val="18"/>
      <color rgb="FF0070C0"/>
      <name val="Calibri"/>
      <family val="2"/>
      <scheme val="minor"/>
    </font>
    <font>
      <b/>
      <sz val="10"/>
      <color theme="1"/>
      <name val="Calibri"/>
      <family val="2"/>
      <scheme val="minor"/>
    </font>
    <font>
      <sz val="11"/>
      <color theme="10"/>
      <name val="Calibri"/>
      <family val="2"/>
      <scheme val="minor"/>
    </font>
    <font>
      <sz val="9"/>
      <name val="Calibri"/>
      <family val="2"/>
      <scheme val="minor"/>
    </font>
    <font>
      <sz val="10"/>
      <name val="MS Sans Serif"/>
      <family val="2"/>
    </font>
    <font>
      <b/>
      <sz val="14"/>
      <color rgb="FF0000FF"/>
      <name val="Calibri"/>
      <family val="2"/>
      <scheme val="minor"/>
    </font>
    <font>
      <sz val="10"/>
      <color rgb="FF800000"/>
      <name val="Calibri"/>
      <family val="2"/>
      <scheme val="minor"/>
    </font>
    <font>
      <b/>
      <sz val="11"/>
      <color rgb="FF800000"/>
      <name val="Calibri"/>
      <family val="2"/>
      <scheme val="minor"/>
    </font>
    <font>
      <sz val="8"/>
      <color theme="0" tint="-0.499984740745262"/>
      <name val="Calibri"/>
      <family val="2"/>
      <scheme val="minor"/>
    </font>
    <font>
      <sz val="10"/>
      <color rgb="FFC00000"/>
      <name val="Calibri"/>
      <family val="2"/>
      <scheme val="minor"/>
    </font>
    <font>
      <b/>
      <sz val="11"/>
      <color rgb="FFC00000"/>
      <name val="Calibri"/>
      <family val="2"/>
      <scheme val="minor"/>
    </font>
    <font>
      <sz val="10"/>
      <color theme="1" tint="0.499984740745262"/>
      <name val="Calibri"/>
      <family val="2"/>
      <scheme val="minor"/>
    </font>
    <font>
      <b/>
      <sz val="11"/>
      <color theme="9" tint="-0.499984740745262"/>
      <name val="Calibri"/>
      <family val="2"/>
      <scheme val="minor"/>
    </font>
    <font>
      <sz val="10"/>
      <color theme="9" tint="-0.249977111117893"/>
      <name val="Calibri"/>
      <family val="2"/>
      <scheme val="minor"/>
    </font>
    <font>
      <sz val="10"/>
      <color theme="1" tint="0.34998626667073579"/>
      <name val="Calibri"/>
      <family val="2"/>
      <scheme val="minor"/>
    </font>
    <font>
      <sz val="11"/>
      <color theme="1" tint="0.34998626667073579"/>
      <name val="Calibri"/>
      <family val="2"/>
      <scheme val="minor"/>
    </font>
    <font>
      <sz val="11"/>
      <color theme="9" tint="-0.499984740745262"/>
      <name val="Calibri"/>
      <family val="2"/>
      <scheme val="minor"/>
    </font>
    <font>
      <sz val="11"/>
      <color theme="1" tint="0.499984740745262"/>
      <name val="Calibri"/>
      <family val="2"/>
      <scheme val="minor"/>
    </font>
    <font>
      <b/>
      <sz val="11"/>
      <name val="Calibri"/>
      <family val="2"/>
      <scheme val="minor"/>
    </font>
    <font>
      <sz val="10"/>
      <color rgb="FF0000FF"/>
      <name val="Calibri"/>
      <family val="2"/>
      <scheme val="minor"/>
    </font>
    <font>
      <b/>
      <sz val="10"/>
      <color rgb="FF7030A0"/>
      <name val="Calibri"/>
      <family val="2"/>
      <scheme val="minor"/>
    </font>
    <font>
      <b/>
      <sz val="10"/>
      <color rgb="FFC00000"/>
      <name val="Calibri"/>
      <family val="2"/>
      <scheme val="minor"/>
    </font>
    <font>
      <b/>
      <sz val="10"/>
      <color theme="9" tint="-0.249977111117893"/>
      <name val="Calibri"/>
      <family val="2"/>
      <scheme val="minor"/>
    </font>
    <font>
      <sz val="18"/>
      <color theme="0"/>
      <name val="Calibri"/>
      <family val="2"/>
      <scheme val="minor"/>
    </font>
    <font>
      <sz val="10"/>
      <color rgb="FF808080"/>
      <name val="Calibri"/>
      <family val="2"/>
      <scheme val="minor"/>
    </font>
    <font>
      <sz val="11"/>
      <color rgb="FF800000"/>
      <name val="Calibri"/>
      <family val="2"/>
      <scheme val="minor"/>
    </font>
    <font>
      <b/>
      <sz val="12"/>
      <color rgb="FF800000"/>
      <name val="Calibri"/>
      <family val="2"/>
      <scheme val="minor"/>
    </font>
    <font>
      <sz val="8"/>
      <color rgb="FF808080"/>
      <name val="Calibri"/>
      <family val="2"/>
      <scheme val="minor"/>
    </font>
    <font>
      <sz val="9"/>
      <color theme="1"/>
      <name val="Calibri"/>
      <family val="2"/>
      <scheme val="minor"/>
    </font>
    <font>
      <b/>
      <sz val="10"/>
      <color rgb="FF0000FF"/>
      <name val="Calibri"/>
      <family val="2"/>
      <scheme val="minor"/>
    </font>
    <font>
      <sz val="10"/>
      <color rgb="FF7030A0"/>
      <name val="Calibri"/>
      <family val="2"/>
      <scheme val="minor"/>
    </font>
    <font>
      <b/>
      <sz val="12"/>
      <color rgb="FF7030A0"/>
      <name val="Calibri"/>
      <family val="2"/>
      <scheme val="minor"/>
    </font>
    <font>
      <b/>
      <sz val="10"/>
      <color indexed="10"/>
      <name val="Calibri"/>
      <family val="2"/>
      <scheme val="minor"/>
    </font>
    <font>
      <sz val="11"/>
      <color indexed="10"/>
      <name val="Calibri"/>
      <family val="2"/>
      <scheme val="minor"/>
    </font>
    <font>
      <b/>
      <sz val="10"/>
      <color indexed="12"/>
      <name val="Calibri"/>
      <family val="2"/>
      <scheme val="minor"/>
    </font>
    <font>
      <sz val="11"/>
      <color indexed="12"/>
      <name val="Calibri"/>
      <family val="2"/>
      <scheme val="minor"/>
    </font>
    <font>
      <sz val="12"/>
      <color indexed="12"/>
      <name val="Calibri"/>
      <family val="2"/>
      <scheme val="minor"/>
    </font>
    <font>
      <b/>
      <sz val="11"/>
      <color indexed="12"/>
      <name val="Calibri"/>
      <family val="2"/>
      <scheme val="minor"/>
    </font>
    <font>
      <b/>
      <sz val="10"/>
      <color rgb="FF0070C0"/>
      <name val="Calibri"/>
      <family val="2"/>
      <scheme val="minor"/>
    </font>
    <font>
      <b/>
      <sz val="16"/>
      <name val="Calibri"/>
      <family val="2"/>
      <scheme val="minor"/>
    </font>
    <font>
      <b/>
      <sz val="12"/>
      <color indexed="10"/>
      <name val="Calibri"/>
      <family val="2"/>
      <scheme val="minor"/>
    </font>
    <font>
      <b/>
      <sz val="16"/>
      <color rgb="FF0070C0"/>
      <name val="Calibri"/>
      <family val="2"/>
      <scheme val="minor"/>
    </font>
    <font>
      <b/>
      <sz val="12"/>
      <color indexed="12"/>
      <name val="Calibri"/>
      <family val="2"/>
      <scheme val="minor"/>
    </font>
    <font>
      <sz val="8"/>
      <name val="Calibri"/>
      <family val="2"/>
      <scheme val="minor"/>
    </font>
    <font>
      <b/>
      <sz val="12"/>
      <color rgb="FF0070C0"/>
      <name val="Calibri"/>
      <family val="2"/>
      <scheme val="minor"/>
    </font>
    <font>
      <b/>
      <sz val="10"/>
      <color rgb="FFFF0000"/>
      <name val="Calibri"/>
      <family val="2"/>
      <scheme val="minor"/>
    </font>
    <font>
      <b/>
      <i/>
      <sz val="16"/>
      <color rgb="FF00B050"/>
      <name val="Calibri"/>
      <family val="2"/>
    </font>
    <font>
      <sz val="11"/>
      <color rgb="FFC00000"/>
      <name val="Calibri"/>
      <family val="2"/>
    </font>
    <font>
      <sz val="12"/>
      <color rgb="FF7030A0"/>
      <name val="Calibri"/>
      <family val="2"/>
      <scheme val="minor"/>
    </font>
    <font>
      <b/>
      <sz val="14"/>
      <color rgb="FF0033CC"/>
      <name val="Calibri"/>
      <family val="2"/>
      <scheme val="minor"/>
    </font>
    <font>
      <b/>
      <sz val="14"/>
      <color rgb="FFFFFFFF"/>
      <name val="Calibri"/>
      <family val="2"/>
    </font>
    <font>
      <b/>
      <sz val="14"/>
      <color rgb="FFFF0000"/>
      <name val="Carlito"/>
      <family val="2"/>
    </font>
    <font>
      <sz val="10"/>
      <color theme="0"/>
      <name val="Calibri"/>
      <family val="2"/>
    </font>
    <font>
      <b/>
      <sz val="12"/>
      <color rgb="FFFFFFFF"/>
      <name val="Calibri"/>
      <family val="2"/>
    </font>
    <font>
      <b/>
      <sz val="14"/>
      <color rgb="FF1F4E78"/>
      <name val="Calibri"/>
      <family val="2"/>
    </font>
    <font>
      <b/>
      <sz val="14"/>
      <color theme="1"/>
      <name val="Calibri"/>
      <family val="2"/>
    </font>
    <font>
      <b/>
      <sz val="16"/>
      <color theme="0"/>
      <name val="Calibri Light"/>
      <family val="2"/>
    </font>
    <font>
      <sz val="11"/>
      <color theme="1"/>
      <name val="Calibri Light"/>
      <family val="2"/>
    </font>
    <font>
      <b/>
      <i/>
      <sz val="12"/>
      <color rgb="FF374151"/>
      <name val="Calibri Light"/>
      <family val="2"/>
    </font>
    <font>
      <i/>
      <sz val="10"/>
      <color rgb="FF374151"/>
      <name val="Calibri Light"/>
      <family val="2"/>
    </font>
    <font>
      <b/>
      <i/>
      <sz val="14"/>
      <color rgb="FF374151"/>
      <name val="Calibri Light"/>
      <family val="2"/>
    </font>
    <font>
      <sz val="10"/>
      <color rgb="FF1F2937"/>
      <name val="Calibri Light"/>
      <family val="2"/>
    </font>
    <font>
      <b/>
      <sz val="12"/>
      <color theme="0"/>
      <name val="Calibri Light"/>
      <family val="2"/>
    </font>
    <font>
      <sz val="12"/>
      <color rgb="FF1F2937"/>
      <name val="Calibri Light"/>
      <family val="2"/>
    </font>
    <font>
      <b/>
      <sz val="12"/>
      <color rgb="FFC00000"/>
      <name val="Calibri Light"/>
      <family val="2"/>
    </font>
    <font>
      <b/>
      <sz val="12"/>
      <color rgb="FF1F2937"/>
      <name val="Calibri Light"/>
      <family val="2"/>
    </font>
    <font>
      <b/>
      <sz val="10"/>
      <name val="Calibri"/>
      <family val="2"/>
    </font>
    <font>
      <sz val="12"/>
      <color theme="1"/>
      <name val="Calibri Light"/>
      <family val="2"/>
    </font>
    <font>
      <b/>
      <sz val="12"/>
      <color rgb="FF0066CC"/>
      <name val="Calibri Light"/>
      <family val="2"/>
    </font>
    <font>
      <b/>
      <sz val="12"/>
      <color rgb="FF0066FF"/>
      <name val="Calibri Light"/>
      <family val="2"/>
    </font>
    <font>
      <b/>
      <sz val="12"/>
      <color theme="9" tint="-0.49995422223578601"/>
      <name val="Calibri Light"/>
      <family val="2"/>
    </font>
    <font>
      <b/>
      <sz val="11"/>
      <color rgb="FF1F1F1F"/>
      <name val="Calibri"/>
      <family val="2"/>
    </font>
    <font>
      <b/>
      <sz val="16"/>
      <color rgb="FFFFFFFF"/>
      <name val="Calibri"/>
      <family val="2"/>
    </font>
    <font>
      <b/>
      <sz val="12"/>
      <color rgb="FF000000"/>
      <name val="Calibri"/>
      <family val="2"/>
    </font>
    <font>
      <b/>
      <sz val="11"/>
      <color rgb="FF000000"/>
      <name val="Calibri"/>
      <family val="2"/>
    </font>
    <font>
      <sz val="12"/>
      <color rgb="FF1F2933"/>
      <name val="Calibri"/>
      <family val="2"/>
    </font>
    <font>
      <sz val="12"/>
      <color rgb="FF222222"/>
      <name val="Calibri"/>
      <family val="2"/>
    </font>
    <font>
      <b/>
      <sz val="12"/>
      <color rgb="FF375623"/>
      <name val="Calibri"/>
      <family val="2"/>
    </font>
    <font>
      <b/>
      <sz val="12"/>
      <color rgb="FF1F2933"/>
      <name val="Calibri"/>
      <family val="2"/>
    </font>
    <font>
      <b/>
      <sz val="11"/>
      <color rgb="FF0033CC"/>
      <name val="Calibri"/>
      <family val="2"/>
    </font>
    <font>
      <sz val="12"/>
      <color rgb="FF333333"/>
      <name val="Calibri"/>
      <family val="2"/>
    </font>
    <font>
      <b/>
      <sz val="11"/>
      <color rgb="FF1F2933"/>
      <name val="Calibri"/>
      <family val="2"/>
    </font>
    <font>
      <b/>
      <sz val="14"/>
      <color rgb="FF0F766E"/>
      <name val="Calibri"/>
      <family val="2"/>
    </font>
    <font>
      <i/>
      <sz val="12"/>
      <color rgb="FF666666"/>
      <name val="Calibri"/>
      <family val="2"/>
    </font>
    <font>
      <b/>
      <i/>
      <sz val="12"/>
      <color rgb="FF1F2933"/>
      <name val="Calibri"/>
      <family val="2"/>
    </font>
    <font>
      <b/>
      <sz val="16"/>
      <color rgb="FF1F2933"/>
      <name val="Calibri"/>
      <family val="2"/>
    </font>
    <font>
      <b/>
      <sz val="15"/>
      <color rgb="FFFFFFFF"/>
      <name val="Calibri"/>
      <family val="2"/>
    </font>
  </fonts>
  <fills count="113">
    <fill>
      <patternFill patternType="none"/>
    </fill>
    <fill>
      <patternFill patternType="gray125"/>
    </fill>
    <fill>
      <patternFill patternType="solid">
        <fgColor rgb="FFFFFFCC"/>
      </patternFill>
    </fill>
    <fill>
      <patternFill patternType="solid">
        <fgColor theme="4" tint="0.59996337778862885"/>
        <bgColor indexed="65"/>
      </patternFill>
    </fill>
    <fill>
      <patternFill patternType="solid">
        <fgColor rgb="FFFFF2CC"/>
      </patternFill>
    </fill>
    <fill>
      <patternFill patternType="solid">
        <fgColor rgb="FFFCE4D6"/>
      </patternFill>
    </fill>
    <fill>
      <patternFill patternType="solid">
        <fgColor rgb="FFE2F0D9"/>
      </patternFill>
    </fill>
    <fill>
      <patternFill patternType="solid">
        <fgColor rgb="FFEAF3F8"/>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EEF6FB"/>
      </patternFill>
    </fill>
    <fill>
      <patternFill patternType="solid">
        <fgColor rgb="FFF3F4F6"/>
      </patternFill>
    </fill>
    <fill>
      <patternFill patternType="solid">
        <fgColor rgb="FFFFFFFF"/>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2F6FA"/>
      </patternFill>
    </fill>
    <fill>
      <patternFill patternType="solid">
        <fgColor rgb="FFEADCF8"/>
      </patternFill>
    </fill>
    <fill>
      <patternFill patternType="solid">
        <fgColor rgb="FFF3F8F1"/>
      </patternFill>
    </fill>
    <fill>
      <patternFill patternType="solid">
        <fgColor rgb="FFD9EAD3"/>
      </patternFill>
    </fill>
    <fill>
      <patternFill patternType="solid">
        <fgColor theme="0"/>
      </patternFill>
    </fill>
    <fill>
      <patternFill patternType="solid">
        <fgColor rgb="FFFFF8E8"/>
      </patternFill>
    </fill>
    <fill>
      <patternFill patternType="solid">
        <fgColor theme="0" tint="-0.14999847407452621"/>
        <bgColor indexed="65"/>
      </patternFill>
    </fill>
    <fill>
      <patternFill patternType="solid">
        <fgColor rgb="FFFFFBEB"/>
      </patternFill>
    </fill>
    <fill>
      <patternFill patternType="solid">
        <fgColor rgb="FFFEF3C7"/>
      </patternFill>
    </fill>
    <fill>
      <patternFill patternType="solid">
        <fgColor rgb="FFF8FAFC"/>
      </patternFill>
    </fill>
    <fill>
      <patternFill patternType="solid">
        <fgColor rgb="FFECFEFF"/>
      </patternFill>
    </fill>
    <fill>
      <patternFill patternType="solid">
        <fgColor rgb="FF0F766E"/>
      </patternFill>
    </fill>
    <fill>
      <patternFill patternType="solid">
        <fgColor rgb="FFE2E8F0"/>
      </patternFill>
    </fill>
    <fill>
      <patternFill patternType="solid">
        <fgColor rgb="FF334155"/>
      </patternFill>
    </fill>
    <fill>
      <patternFill patternType="solid">
        <fgColor rgb="FFECFDF5"/>
      </patternFill>
    </fill>
    <fill>
      <patternFill patternType="solid">
        <fgColor rgb="FFFFF7ED"/>
      </patternFill>
    </fill>
    <fill>
      <patternFill patternType="solid">
        <fgColor rgb="FFDDEFE6"/>
      </patternFill>
    </fill>
    <fill>
      <patternFill patternType="solid">
        <fgColor rgb="FFFBE7C6"/>
      </patternFill>
    </fill>
    <fill>
      <patternFill patternType="solid">
        <fgColor rgb="FF78A083"/>
      </patternFill>
    </fill>
    <fill>
      <patternFill patternType="solid">
        <fgColor rgb="FFFDE2E2"/>
      </patternFill>
    </fill>
    <fill>
      <patternFill patternType="solid">
        <fgColor rgb="FFEEF3F8"/>
      </patternFill>
    </fill>
    <fill>
      <patternFill patternType="solid">
        <fgColor rgb="FFF7FBFF"/>
      </patternFill>
    </fill>
    <fill>
      <patternFill patternType="solid">
        <fgColor rgb="FFFFF4CC"/>
      </patternFill>
    </fill>
    <fill>
      <patternFill patternType="solid">
        <fgColor rgb="FFFFFFD9"/>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E2EFDA"/>
        <bgColor indexed="64"/>
      </patternFill>
    </fill>
    <fill>
      <patternFill patternType="solid">
        <fgColor rgb="FFFFE38B"/>
        <bgColor indexed="64"/>
      </patternFill>
    </fill>
    <fill>
      <patternFill patternType="solid">
        <fgColor rgb="FFED7D31"/>
        <bgColor indexed="64"/>
      </patternFill>
    </fill>
    <fill>
      <patternFill patternType="solid">
        <fgColor rgb="FF2F5D50"/>
        <bgColor indexed="64"/>
      </patternFill>
    </fill>
    <fill>
      <patternFill patternType="solid">
        <fgColor rgb="FFDDEFE6"/>
        <bgColor indexed="64"/>
      </patternFill>
    </fill>
    <fill>
      <patternFill patternType="solid">
        <fgColor rgb="FF78A083"/>
        <bgColor indexed="64"/>
      </patternFill>
    </fill>
    <fill>
      <patternFill patternType="solid">
        <fgColor rgb="FF0070C0"/>
        <bgColor indexed="64"/>
      </patternFill>
    </fill>
    <fill>
      <patternFill patternType="solid">
        <fgColor rgb="FFC0DDF2"/>
        <bgColor indexed="64"/>
      </patternFill>
    </fill>
    <fill>
      <patternFill patternType="solid">
        <fgColor rgb="FF29A3FF"/>
        <bgColor indexed="64"/>
      </patternFill>
    </fill>
    <fill>
      <patternFill patternType="solid">
        <fgColor rgb="FF0F766E"/>
        <bgColor indexed="64"/>
      </patternFill>
    </fill>
    <fill>
      <patternFill patternType="solid">
        <fgColor rgb="FF14988F"/>
        <bgColor indexed="64"/>
      </patternFill>
    </fill>
    <fill>
      <patternFill patternType="solid">
        <fgColor rgb="FFB4C6E7"/>
        <bgColor indexed="64"/>
      </patternFill>
    </fill>
    <fill>
      <patternFill patternType="solid">
        <fgColor rgb="FFEEF6FB"/>
        <bgColor indexed="64"/>
      </patternFill>
    </fill>
    <fill>
      <patternFill patternType="solid">
        <fgColor rgb="FFF8FBFC"/>
      </patternFill>
    </fill>
    <fill>
      <patternFill patternType="solid">
        <fgColor rgb="FFF8FBFC"/>
        <bgColor indexed="64"/>
      </patternFill>
    </fill>
    <fill>
      <patternFill patternType="solid">
        <fgColor theme="0" tint="-4.9989318521683403E-2"/>
        <bgColor indexed="65"/>
      </patternFill>
    </fill>
    <fill>
      <patternFill patternType="solid">
        <fgColor rgb="FF14988F"/>
      </patternFill>
    </fill>
    <fill>
      <patternFill patternType="solid">
        <fgColor rgb="FF92D050"/>
        <bgColor indexed="64"/>
      </patternFill>
    </fill>
    <fill>
      <patternFill patternType="solid">
        <fgColor rgb="FFEADCF8"/>
        <bgColor indexed="64"/>
      </patternFill>
    </fill>
    <fill>
      <patternFill patternType="solid">
        <fgColor rgb="FFF3F6F4"/>
      </patternFill>
    </fill>
    <fill>
      <patternFill patternType="solid">
        <fgColor rgb="FFF0E6FA"/>
        <bgColor indexed="64"/>
      </patternFill>
    </fill>
    <fill>
      <patternFill patternType="solid">
        <fgColor rgb="FFFBF5EF"/>
      </patternFill>
    </fill>
    <fill>
      <patternFill patternType="solid">
        <fgColor rgb="FF7030A0"/>
        <bgColor indexed="64"/>
      </patternFill>
    </fill>
    <fill>
      <patternFill patternType="solid">
        <fgColor rgb="FFCC00FF"/>
        <bgColor indexed="64"/>
      </patternFill>
    </fill>
    <fill>
      <patternFill patternType="solid">
        <fgColor indexed="23"/>
        <bgColor indexed="64"/>
      </patternFill>
    </fill>
    <fill>
      <patternFill patternType="solid">
        <fgColor rgb="FF808080"/>
        <bgColor indexed="64"/>
      </patternFill>
    </fill>
    <fill>
      <patternFill patternType="solid">
        <fgColor rgb="FF99CC00"/>
        <bgColor indexed="64"/>
      </patternFill>
    </fill>
    <fill>
      <patternFill patternType="solid">
        <fgColor rgb="FFCCCC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8" tint="0.59999389629810485"/>
        <bgColor indexed="64"/>
      </patternFill>
    </fill>
    <fill>
      <patternFill patternType="solid">
        <fgColor theme="0"/>
        <bgColor indexed="9"/>
      </patternFill>
    </fill>
    <fill>
      <patternFill patternType="solid">
        <fgColor rgb="FFA4DE00"/>
        <bgColor indexed="64"/>
      </patternFill>
    </fill>
    <fill>
      <patternFill patternType="solid">
        <fgColor rgb="FFF1E8F8"/>
        <bgColor indexed="64"/>
      </patternFill>
    </fill>
    <fill>
      <patternFill patternType="solid">
        <fgColor rgb="FFFF0000"/>
        <bgColor indexed="64"/>
      </patternFill>
    </fill>
    <fill>
      <patternFill patternType="solid">
        <fgColor rgb="FFFFFFAF"/>
        <bgColor indexed="9"/>
      </patternFill>
    </fill>
    <fill>
      <patternFill patternType="solid">
        <fgColor rgb="FFFFFFCC"/>
        <bgColor indexed="9"/>
      </patternFill>
    </fill>
    <fill>
      <patternFill patternType="solid">
        <fgColor rgb="FFFFFFAF"/>
        <bgColor indexed="64"/>
      </patternFill>
    </fill>
    <fill>
      <patternFill patternType="solid">
        <fgColor rgb="FFFFFFAF"/>
        <bgColor theme="0"/>
      </patternFill>
    </fill>
    <fill>
      <patternFill patternType="solid">
        <fgColor theme="0"/>
        <bgColor theme="0"/>
      </patternFill>
    </fill>
    <fill>
      <patternFill patternType="solid">
        <fgColor rgb="FFC65911"/>
        <bgColor indexed="64"/>
      </patternFill>
    </fill>
    <fill>
      <patternFill patternType="solid">
        <fgColor rgb="FF800000"/>
        <bgColor indexed="64"/>
      </patternFill>
    </fill>
    <fill>
      <patternFill patternType="solid">
        <fgColor rgb="FFFFFFCC"/>
        <bgColor theme="0"/>
      </patternFill>
    </fill>
    <fill>
      <patternFill patternType="solid">
        <fgColor theme="5" tint="-0.249977111117893"/>
        <bgColor indexed="64"/>
      </patternFill>
    </fill>
    <fill>
      <patternFill patternType="solid">
        <fgColor rgb="FFBF95DF"/>
        <bgColor indexed="64"/>
      </patternFill>
    </fill>
    <fill>
      <patternFill patternType="solid">
        <fgColor rgb="FFF1E8F8"/>
        <bgColor indexed="9"/>
      </patternFill>
    </fill>
    <fill>
      <patternFill patternType="solid">
        <fgColor rgb="FFE8D9F3"/>
        <bgColor indexed="64"/>
      </patternFill>
    </fill>
    <fill>
      <patternFill patternType="solid">
        <fgColor indexed="42"/>
        <bgColor indexed="64"/>
      </patternFill>
    </fill>
    <fill>
      <patternFill patternType="solid">
        <fgColor rgb="FFCCFFCC"/>
        <bgColor indexed="64"/>
      </patternFill>
    </fill>
    <fill>
      <patternFill patternType="solid">
        <fgColor indexed="26"/>
        <bgColor indexed="64"/>
      </patternFill>
    </fill>
    <fill>
      <patternFill patternType="solid">
        <fgColor indexed="9"/>
        <bgColor indexed="64"/>
      </patternFill>
    </fill>
    <fill>
      <patternFill patternType="solid">
        <fgColor theme="0" tint="-0.14999847407452621"/>
        <bgColor theme="0"/>
      </patternFill>
    </fill>
    <fill>
      <patternFill patternType="solid">
        <fgColor theme="0" tint="-0.14996795556505021"/>
        <bgColor indexed="64"/>
      </patternFill>
    </fill>
    <fill>
      <patternFill patternType="solid">
        <fgColor theme="0" tint="-0.14993743705557422"/>
        <bgColor indexed="64"/>
      </patternFill>
    </fill>
    <fill>
      <patternFill patternType="solid">
        <fgColor theme="0" tint="-0.249977111117893"/>
        <bgColor indexed="64"/>
      </patternFill>
    </fill>
    <fill>
      <patternFill patternType="solid">
        <fgColor rgb="FFFCE4D6"/>
        <bgColor indexed="64"/>
      </patternFill>
    </fill>
    <fill>
      <patternFill patternType="solid">
        <fgColor rgb="FF244062"/>
      </patternFill>
    </fill>
    <fill>
      <patternFill patternType="solid">
        <fgColor rgb="FFF2F2F2"/>
      </patternFill>
    </fill>
    <fill>
      <patternFill patternType="solid">
        <fgColor rgb="FF5B9BD5"/>
      </patternFill>
    </fill>
    <fill>
      <patternFill patternType="solid">
        <fgColor rgb="FFD9EAF7"/>
      </patternFill>
    </fill>
    <fill>
      <patternFill patternType="solid">
        <fgColor rgb="FF1F4E78"/>
      </patternFill>
    </fill>
    <fill>
      <patternFill patternType="solid">
        <fgColor rgb="FF2F5D50"/>
      </patternFill>
    </fill>
    <fill>
      <patternFill patternType="solid">
        <fgColor rgb="FF5B9BD5"/>
        <bgColor indexed="64"/>
      </patternFill>
    </fill>
    <fill>
      <patternFill patternType="solid">
        <fgColor rgb="FF1F4E79"/>
      </patternFill>
    </fill>
    <fill>
      <patternFill patternType="solid">
        <fgColor rgb="FFBDD7EE"/>
      </patternFill>
    </fill>
    <fill>
      <patternFill patternType="solid">
        <fgColor rgb="FF92D050"/>
      </patternFill>
    </fill>
    <fill>
      <patternFill patternType="solid">
        <fgColor rgb="FFF0E6FA"/>
      </patternFill>
    </fill>
    <fill>
      <patternFill patternType="solid">
        <fgColor rgb="FFC1E1D1"/>
      </patternFill>
    </fill>
    <fill>
      <patternFill patternType="solid">
        <fgColor rgb="FFC00000"/>
      </patternFill>
    </fill>
  </fills>
  <borders count="278">
    <border>
      <left/>
      <right/>
      <top/>
      <bottom/>
      <diagonal/>
    </border>
    <border>
      <left style="thin">
        <color rgb="FFD9E2EA"/>
      </left>
      <right style="thin">
        <color rgb="FFD9E2EA"/>
      </right>
      <top style="thin">
        <color rgb="FFD9E2EA"/>
      </top>
      <bottom style="thin">
        <color rgb="FFD9E2EA"/>
      </bottom>
      <diagonal/>
    </border>
    <border>
      <left style="thin">
        <color rgb="FFD0D7DE"/>
      </left>
      <right/>
      <top style="thin">
        <color rgb="FFD0D7DE"/>
      </top>
      <bottom style="thin">
        <color rgb="FFD0D7DE"/>
      </bottom>
      <diagonal/>
    </border>
    <border>
      <left/>
      <right/>
      <top style="thin">
        <color rgb="FFD0D7DE"/>
      </top>
      <bottom style="thin">
        <color rgb="FFD0D7DE"/>
      </bottom>
      <diagonal/>
    </border>
    <border>
      <left/>
      <right/>
      <top style="thin">
        <color rgb="FFD0D7DE"/>
      </top>
      <bottom/>
      <diagonal/>
    </border>
    <border>
      <left/>
      <right style="thin">
        <color rgb="FFD0D7DE"/>
      </right>
      <top style="thin">
        <color rgb="FFD0D7DE"/>
      </top>
      <bottom style="thin">
        <color rgb="FFD0D7DE"/>
      </bottom>
      <diagonal/>
    </border>
    <border>
      <left style="thin">
        <color rgb="FFD0D7DE"/>
      </left>
      <right/>
      <top style="thin">
        <color rgb="FFD0D7DE"/>
      </top>
      <bottom style="medium">
        <color rgb="FFD0D7DE"/>
      </bottom>
      <diagonal/>
    </border>
    <border>
      <left/>
      <right/>
      <top style="thin">
        <color rgb="FFD0D7DE"/>
      </top>
      <bottom style="medium">
        <color rgb="FFD0D7DE"/>
      </bottom>
      <diagonal/>
    </border>
    <border>
      <left/>
      <right/>
      <top/>
      <bottom style="thin">
        <color rgb="FFD0D7DE"/>
      </bottom>
      <diagonal/>
    </border>
    <border>
      <left/>
      <right style="thin">
        <color rgb="FFD0D7DE"/>
      </right>
      <top style="thin">
        <color rgb="FFD0D7DE"/>
      </top>
      <bottom style="medium">
        <color rgb="FFD0D7DE"/>
      </bottom>
      <diagonal/>
    </border>
    <border>
      <left style="thin">
        <color rgb="FFD0D7DE"/>
      </left>
      <right/>
      <top style="thin">
        <color rgb="FFD0D7DE"/>
      </top>
      <bottom/>
      <diagonal/>
    </border>
    <border>
      <left style="thin">
        <color rgb="FFD9E2EA"/>
      </left>
      <right style="thin">
        <color rgb="FFD9E2EA"/>
      </right>
      <top style="thin">
        <color rgb="FFD9E2EA"/>
      </top>
      <bottom/>
      <diagonal/>
    </border>
    <border>
      <left style="thin">
        <color rgb="FFD9E2EA"/>
      </left>
      <right/>
      <top/>
      <bottom style="thin">
        <color rgb="FFD9E2EA"/>
      </bottom>
      <diagonal/>
    </border>
    <border>
      <left/>
      <right/>
      <top/>
      <bottom style="thin">
        <color rgb="FFD9E2EA"/>
      </bottom>
      <diagonal/>
    </border>
    <border>
      <left/>
      <right style="thin">
        <color rgb="FFD9E2EA"/>
      </right>
      <top/>
      <bottom style="thin">
        <color rgb="FFD9E2EA"/>
      </bottom>
      <diagonal/>
    </border>
    <border>
      <left style="thin">
        <color rgb="FFD9E2EA"/>
      </left>
      <right/>
      <top style="thin">
        <color rgb="FFD9E2EA"/>
      </top>
      <bottom style="medium">
        <color rgb="FFD9E2EA"/>
      </bottom>
      <diagonal/>
    </border>
    <border>
      <left/>
      <right/>
      <top style="thin">
        <color rgb="FFD9E2EA"/>
      </top>
      <bottom style="medium">
        <color rgb="FFD9E2EA"/>
      </bottom>
      <diagonal/>
    </border>
    <border>
      <left/>
      <right style="thin">
        <color rgb="FFD9E2EA"/>
      </right>
      <top style="thin">
        <color rgb="FFD9E2EA"/>
      </top>
      <bottom style="medium">
        <color rgb="FFD9E2EA"/>
      </bottom>
      <diagonal/>
    </border>
    <border>
      <left style="thin">
        <color rgb="FFD9E2EA"/>
      </left>
      <right/>
      <top style="thin">
        <color rgb="FFD9E2EA"/>
      </top>
      <bottom style="thin">
        <color rgb="FFD9E2EA"/>
      </bottom>
      <diagonal/>
    </border>
    <border>
      <left/>
      <right style="thin">
        <color rgb="FFD9E2EA"/>
      </right>
      <top style="thin">
        <color rgb="FFD9E2EA"/>
      </top>
      <bottom style="thin">
        <color rgb="FFD9E2EA"/>
      </bottom>
      <diagonal/>
    </border>
    <border>
      <left/>
      <right/>
      <top style="thin">
        <color rgb="FFD9E2EA"/>
      </top>
      <bottom style="thin">
        <color rgb="FFD9E2EA"/>
      </bottom>
      <diagonal/>
    </border>
    <border>
      <left style="thin">
        <color rgb="FFD9E2EA"/>
      </left>
      <right/>
      <top/>
      <bottom/>
      <diagonal/>
    </border>
    <border>
      <left style="thin">
        <color rgb="FFB7CBBE"/>
      </left>
      <right/>
      <top style="thin">
        <color rgb="FFB7CBBE"/>
      </top>
      <bottom style="thin">
        <color rgb="FFB7CBBE"/>
      </bottom>
      <diagonal/>
    </border>
    <border>
      <left/>
      <right/>
      <top style="thin">
        <color rgb="FFB7CBBE"/>
      </top>
      <bottom style="thin">
        <color rgb="FFB7CBBE"/>
      </bottom>
      <diagonal/>
    </border>
    <border>
      <left/>
      <right style="thin">
        <color rgb="FFB7CBBE"/>
      </right>
      <top style="thin">
        <color rgb="FFB7CBBE"/>
      </top>
      <bottom style="thin">
        <color rgb="FFB7CBBE"/>
      </bottom>
      <diagonal/>
    </border>
    <border>
      <left style="thin">
        <color rgb="FFDCDFE4"/>
      </left>
      <right style="thin">
        <color rgb="FFDCDFE4"/>
      </right>
      <top style="thin">
        <color rgb="FFDCDFE4"/>
      </top>
      <bottom style="thin">
        <color rgb="FFDCDFE4"/>
      </bottom>
      <diagonal/>
    </border>
    <border>
      <left style="thin">
        <color rgb="FFDCDFE4"/>
      </left>
      <right/>
      <top style="thin">
        <color rgb="FFDCDFE4"/>
      </top>
      <bottom style="thin">
        <color rgb="FFDCDFE4"/>
      </bottom>
      <diagonal/>
    </border>
    <border>
      <left/>
      <right/>
      <top style="thin">
        <color rgb="FFDCDFE4"/>
      </top>
      <bottom style="thin">
        <color rgb="FFDCDFE4"/>
      </bottom>
      <diagonal/>
    </border>
    <border>
      <left/>
      <right style="thin">
        <color rgb="FFDCDFE4"/>
      </right>
      <top style="thin">
        <color rgb="FFDCDFE4"/>
      </top>
      <bottom style="thin">
        <color rgb="FFDCDFE4"/>
      </bottom>
      <diagonal/>
    </border>
    <border>
      <left style="thin">
        <color rgb="FFDCDFE4"/>
      </left>
      <right style="thin">
        <color rgb="FFDCDFE4"/>
      </right>
      <top style="thin">
        <color rgb="FFDCDFE4"/>
      </top>
      <bottom style="medium">
        <color rgb="FFDCDFE4"/>
      </bottom>
      <diagonal/>
    </border>
    <border>
      <left style="thin">
        <color rgb="FFDCDFE4"/>
      </left>
      <right/>
      <top style="thin">
        <color rgb="FFDCDFE4"/>
      </top>
      <bottom style="medium">
        <color rgb="FFDCDFE4"/>
      </bottom>
      <diagonal/>
    </border>
    <border>
      <left/>
      <right/>
      <top style="thin">
        <color rgb="FFDCDFE4"/>
      </top>
      <bottom style="medium">
        <color rgb="FFDCDFE4"/>
      </bottom>
      <diagonal/>
    </border>
    <border>
      <left/>
      <right style="thin">
        <color rgb="FFDCDFE4"/>
      </right>
      <top style="thin">
        <color rgb="FFDCDFE4"/>
      </top>
      <bottom style="medium">
        <color rgb="FFDCDFE4"/>
      </bottom>
      <diagonal/>
    </border>
    <border>
      <left style="thin">
        <color rgb="FFE5E7EB"/>
      </left>
      <right style="thin">
        <color rgb="FFE5E7EB"/>
      </right>
      <top style="thin">
        <color rgb="FFE5E7EB"/>
      </top>
      <bottom style="thin">
        <color rgb="FFE5E7EB"/>
      </bottom>
      <diagonal/>
    </border>
    <border>
      <left style="thin">
        <color rgb="FFD1D5DB"/>
      </left>
      <right style="thin">
        <color rgb="FFE5E7EB"/>
      </right>
      <top style="thin">
        <color rgb="FFD1D5DB"/>
      </top>
      <bottom style="thin">
        <color rgb="FFD1D5DB"/>
      </bottom>
      <diagonal/>
    </border>
    <border>
      <left style="thin">
        <color rgb="FFE5E7EB"/>
      </left>
      <right style="thin">
        <color rgb="FFE5E7EB"/>
      </right>
      <top style="thin">
        <color rgb="FFD1D5DB"/>
      </top>
      <bottom style="thin">
        <color rgb="FFD1D5DB"/>
      </bottom>
      <diagonal/>
    </border>
    <border>
      <left style="thin">
        <color rgb="FFE5E7EB"/>
      </left>
      <right style="thin">
        <color rgb="FFD1D5DB"/>
      </right>
      <top style="thin">
        <color rgb="FFD1D5DB"/>
      </top>
      <bottom style="thin">
        <color rgb="FFD1D5DB"/>
      </bottom>
      <diagonal/>
    </border>
    <border>
      <left style="thin">
        <color rgb="FFDCDFE4"/>
      </left>
      <right/>
      <top/>
      <bottom/>
      <diagonal/>
    </border>
    <border>
      <left/>
      <right style="thin">
        <color rgb="FFDCDFE4"/>
      </right>
      <top/>
      <bottom/>
      <diagonal/>
    </border>
    <border>
      <left style="thin">
        <color rgb="FFDCDFE4"/>
      </left>
      <right/>
      <top style="thin">
        <color rgb="FFD9E2EA"/>
      </top>
      <bottom/>
      <diagonal/>
    </border>
    <border>
      <left/>
      <right/>
      <top style="thin">
        <color rgb="FFD9E2EA"/>
      </top>
      <bottom/>
      <diagonal/>
    </border>
    <border>
      <left style="thin">
        <color rgb="FFDCDFE4"/>
      </left>
      <right/>
      <top style="thin">
        <color rgb="FFD1D5DB"/>
      </top>
      <bottom/>
      <diagonal/>
    </border>
    <border>
      <left/>
      <right/>
      <top style="thin">
        <color rgb="FFD1D5DB"/>
      </top>
      <bottom/>
      <diagonal/>
    </border>
    <border>
      <left/>
      <right style="thin">
        <color rgb="FFD1D5DB"/>
      </right>
      <top style="thin">
        <color rgb="FFD1D5DB"/>
      </top>
      <bottom/>
      <diagonal/>
    </border>
    <border>
      <left style="thin">
        <color rgb="FFD1D5DB"/>
      </left>
      <right/>
      <top style="thin">
        <color rgb="FFD1D5DB"/>
      </top>
      <bottom style="thin">
        <color rgb="FFD1D5DB"/>
      </bottom>
      <diagonal/>
    </border>
    <border>
      <left/>
      <right/>
      <top style="thin">
        <color rgb="FFD1D5DB"/>
      </top>
      <bottom style="thin">
        <color rgb="FFD1D5DB"/>
      </bottom>
      <diagonal/>
    </border>
    <border>
      <left/>
      <right style="thin">
        <color rgb="FFD1D5DB"/>
      </right>
      <top style="thin">
        <color rgb="FFD1D5DB"/>
      </top>
      <bottom style="thin">
        <color rgb="FFD1D5DB"/>
      </bottom>
      <diagonal/>
    </border>
    <border>
      <left/>
      <right style="thin">
        <color rgb="FFE5E7EB"/>
      </right>
      <top style="thin">
        <color rgb="FFE5E7EB"/>
      </top>
      <bottom style="thin">
        <color rgb="FFE5E7EB"/>
      </bottom>
      <diagonal/>
    </border>
    <border>
      <left/>
      <right/>
      <top style="thin">
        <color rgb="FFE5E7EB"/>
      </top>
      <bottom style="thin">
        <color rgb="FFE5E7EB"/>
      </bottom>
      <diagonal/>
    </border>
    <border>
      <left style="thin">
        <color rgb="FFE5E7EB"/>
      </left>
      <right/>
      <top style="thin">
        <color rgb="FFE5E7EB"/>
      </top>
      <bottom style="thin">
        <color rgb="FFE5E7EB"/>
      </bottom>
      <diagonal/>
    </border>
    <border>
      <left/>
      <right style="thin">
        <color rgb="FF9FC5E8"/>
      </right>
      <top style="thin">
        <color rgb="FF9FC5E8"/>
      </top>
      <bottom style="thin">
        <color rgb="FFE5E7EB"/>
      </bottom>
      <diagonal/>
    </border>
    <border>
      <left/>
      <right/>
      <top style="thin">
        <color rgb="FF9FC5E8"/>
      </top>
      <bottom style="thin">
        <color rgb="FFE5E7EB"/>
      </bottom>
      <diagonal/>
    </border>
    <border>
      <left style="thin">
        <color rgb="FF9FC5E8"/>
      </left>
      <right/>
      <top style="thin">
        <color rgb="FF9FC5E8"/>
      </top>
      <bottom style="thin">
        <color rgb="FFE5E7EB"/>
      </bottom>
      <diagonal/>
    </border>
    <border>
      <left style="thin">
        <color rgb="FFD1D5DB"/>
      </left>
      <right/>
      <top/>
      <bottom/>
      <diagonal/>
    </border>
    <border>
      <left style="thin">
        <color rgb="FFD1D5DB"/>
      </left>
      <right style="thin">
        <color rgb="FFD1D5DB"/>
      </right>
      <top style="thin">
        <color rgb="FFD1D5DB"/>
      </top>
      <bottom style="thin">
        <color rgb="FFD1D5DB"/>
      </bottom>
      <diagonal/>
    </border>
    <border>
      <left/>
      <right style="thin">
        <color rgb="FFE5E7EB"/>
      </right>
      <top/>
      <bottom/>
      <diagonal/>
    </border>
    <border>
      <left style="thin">
        <color rgb="FFE5E7EB"/>
      </left>
      <right/>
      <top/>
      <bottom/>
      <diagonal/>
    </border>
    <border>
      <left/>
      <right style="thin">
        <color rgb="FF9FC5E8"/>
      </right>
      <top style="thin">
        <color rgb="FF9FC5E8"/>
      </top>
      <bottom style="thin">
        <color rgb="FF9FC5E8"/>
      </bottom>
      <diagonal/>
    </border>
    <border>
      <left/>
      <right/>
      <top style="thin">
        <color rgb="FF9FC5E8"/>
      </top>
      <bottom style="thin">
        <color rgb="FF9FC5E8"/>
      </bottom>
      <diagonal/>
    </border>
    <border>
      <left style="thin">
        <color rgb="FF9FC5E8"/>
      </left>
      <right/>
      <top style="thin">
        <color rgb="FF9FC5E8"/>
      </top>
      <bottom style="thin">
        <color rgb="FF9FC5E8"/>
      </bottom>
      <diagonal/>
    </border>
    <border>
      <left style="hair">
        <color rgb="FFE5E7EB"/>
      </left>
      <right style="thin">
        <color rgb="FFE5E7EB"/>
      </right>
      <top style="thin">
        <color rgb="FFE5E7EB"/>
      </top>
      <bottom style="thin">
        <color rgb="FFE5E7EB"/>
      </bottom>
      <diagonal/>
    </border>
    <border>
      <left style="hair">
        <color rgb="FFE5E7EB"/>
      </left>
      <right style="hair">
        <color rgb="FFE5E7EB"/>
      </right>
      <top style="thin">
        <color rgb="FFE5E7EB"/>
      </top>
      <bottom style="thin">
        <color rgb="FFE5E7EB"/>
      </bottom>
      <diagonal/>
    </border>
    <border>
      <left style="thin">
        <color rgb="FFE5E7EB"/>
      </left>
      <right style="hair">
        <color rgb="FFE5E7EB"/>
      </right>
      <top style="thin">
        <color rgb="FFE5E7EB"/>
      </top>
      <bottom style="thin">
        <color rgb="FFE5E7EB"/>
      </bottom>
      <diagonal/>
    </border>
    <border>
      <left/>
      <right style="thin">
        <color rgb="FF9FC5E8"/>
      </right>
      <top style="thin">
        <color rgb="FF9FC5E8"/>
      </top>
      <bottom/>
      <diagonal/>
    </border>
    <border>
      <left/>
      <right/>
      <top style="thin">
        <color rgb="FF9FC5E8"/>
      </top>
      <bottom/>
      <diagonal/>
    </border>
    <border>
      <left style="thin">
        <color rgb="FF9FC5E8"/>
      </left>
      <right/>
      <top style="thin">
        <color rgb="FF9FC5E8"/>
      </top>
      <bottom/>
      <diagonal/>
    </border>
    <border>
      <left style="thin">
        <color rgb="FFC9B4E8"/>
      </left>
      <right style="thin">
        <color rgb="FFC9B4E8"/>
      </right>
      <top style="thin">
        <color rgb="FFC9B4E8"/>
      </top>
      <bottom style="thin">
        <color rgb="FFC9B4E8"/>
      </bottom>
      <diagonal/>
    </border>
    <border>
      <left style="thin">
        <color rgb="FF9FC5E8"/>
      </left>
      <right style="thin">
        <color rgb="FF9FC5E8"/>
      </right>
      <top style="thin">
        <color rgb="FF9FC5E8"/>
      </top>
      <bottom style="thin">
        <color rgb="FF9FC5E8"/>
      </bottom>
      <diagonal/>
    </border>
    <border>
      <left/>
      <right style="thin">
        <color rgb="FFE5E7EB"/>
      </right>
      <top style="thin">
        <color rgb="FF9FC5E8"/>
      </top>
      <bottom style="thin">
        <color rgb="FFE5E7EB"/>
      </bottom>
      <diagonal/>
    </border>
    <border>
      <left style="thin">
        <color rgb="FFE5E7EB"/>
      </left>
      <right/>
      <top style="thin">
        <color rgb="FF9FC5E8"/>
      </top>
      <bottom style="thin">
        <color rgb="FFE5E7EB"/>
      </bottom>
      <diagonal/>
    </border>
    <border>
      <left/>
      <right style="thin">
        <color rgb="FFD9EAD3"/>
      </right>
      <top/>
      <bottom style="thin">
        <color rgb="FFD9EAD3"/>
      </bottom>
      <diagonal/>
    </border>
    <border>
      <left/>
      <right/>
      <top/>
      <bottom style="thin">
        <color rgb="FFD9EAD3"/>
      </bottom>
      <diagonal/>
    </border>
    <border>
      <left style="thin">
        <color rgb="FFD9EAD3"/>
      </left>
      <right/>
      <top/>
      <bottom style="thin">
        <color rgb="FFD9EAD3"/>
      </bottom>
      <diagonal/>
    </border>
    <border>
      <left/>
      <right style="thin">
        <color rgb="FFD9EAD3"/>
      </right>
      <top style="thin">
        <color rgb="FFD9EAD3"/>
      </top>
      <bottom/>
      <diagonal/>
    </border>
    <border>
      <left/>
      <right/>
      <top style="thin">
        <color rgb="FFD9EAD3"/>
      </top>
      <bottom/>
      <diagonal/>
    </border>
    <border>
      <left/>
      <right style="thin">
        <color rgb="FFB7D7A8"/>
      </right>
      <top style="thin">
        <color rgb="FFB7D7A8"/>
      </top>
      <bottom style="thin">
        <color rgb="FFB7D7A8"/>
      </bottom>
      <diagonal/>
    </border>
    <border>
      <left/>
      <right/>
      <top style="thin">
        <color rgb="FFB7D7A8"/>
      </top>
      <bottom style="thin">
        <color rgb="FFB7D7A8"/>
      </bottom>
      <diagonal/>
    </border>
    <border>
      <left style="thin">
        <color rgb="FFB7D7A8"/>
      </left>
      <right/>
      <top style="thin">
        <color rgb="FFB7D7A8"/>
      </top>
      <bottom style="thin">
        <color rgb="FFB7D7A8"/>
      </bottom>
      <diagonal/>
    </border>
    <border>
      <left style="thin">
        <color rgb="FFDCDFE4"/>
      </left>
      <right/>
      <top/>
      <bottom style="thin">
        <color rgb="FFDCDFE4"/>
      </bottom>
      <diagonal/>
    </border>
    <border>
      <left/>
      <right style="thin">
        <color rgb="FFDCDFE4"/>
      </right>
      <top/>
      <bottom style="thin">
        <color rgb="FFDCDFE4"/>
      </bottom>
      <diagonal/>
    </border>
    <border>
      <left style="thin">
        <color rgb="FFDCDFE4"/>
      </left>
      <right/>
      <top style="thin">
        <color rgb="FFD9E2EA"/>
      </top>
      <bottom style="thin">
        <color rgb="FFDCDFE4"/>
      </bottom>
      <diagonal/>
    </border>
    <border>
      <left/>
      <right/>
      <top style="thin">
        <color rgb="FFD9E2EA"/>
      </top>
      <bottom style="thin">
        <color rgb="FFDCDFE4"/>
      </bottom>
      <diagonal/>
    </border>
    <border>
      <left style="thin">
        <color rgb="FFDCDFE4"/>
      </left>
      <right/>
      <top style="thin">
        <color rgb="FFD1D5DB"/>
      </top>
      <bottom style="thin">
        <color rgb="FFDCDFE4"/>
      </bottom>
      <diagonal/>
    </border>
    <border>
      <left/>
      <right/>
      <top style="thin">
        <color rgb="FFD1D5DB"/>
      </top>
      <bottom style="thin">
        <color rgb="FFDCDFE4"/>
      </bottom>
      <diagonal/>
    </border>
    <border>
      <left/>
      <right style="thin">
        <color rgb="FFD1D5DB"/>
      </right>
      <top style="thin">
        <color rgb="FFD1D5DB"/>
      </top>
      <bottom style="thin">
        <color rgb="FFDCDFE4"/>
      </bottom>
      <diagonal/>
    </border>
    <border>
      <left style="thin">
        <color rgb="FFDDDDDD"/>
      </left>
      <right style="thin">
        <color rgb="FFDDDDDD"/>
      </right>
      <top style="thin">
        <color rgb="FFDDDDDD"/>
      </top>
      <bottom style="thin">
        <color rgb="FFDDDDDD"/>
      </bottom>
      <diagonal/>
    </border>
    <border>
      <left/>
      <right/>
      <top style="thin">
        <color rgb="FFDDDDDD"/>
      </top>
      <bottom/>
      <diagonal/>
    </border>
    <border>
      <left style="thin">
        <color rgb="FFDDDDDD"/>
      </left>
      <right/>
      <top style="thin">
        <color rgb="FFDDDDDD"/>
      </top>
      <bottom/>
      <diagonal/>
    </border>
    <border>
      <left style="thin">
        <color rgb="FFDDDDDD"/>
      </left>
      <right/>
      <top/>
      <bottom/>
      <diagonal/>
    </border>
    <border>
      <left/>
      <right style="thin">
        <color rgb="FFDDDDDD"/>
      </right>
      <top style="thin">
        <color rgb="FFDDDDDD"/>
      </top>
      <bottom/>
      <diagonal/>
    </border>
    <border>
      <left/>
      <right/>
      <top/>
      <bottom style="thin">
        <color rgb="FFDDDDDD"/>
      </bottom>
      <diagonal/>
    </border>
    <border>
      <left/>
      <right style="thin">
        <color rgb="FFDDDDDD"/>
      </right>
      <top/>
      <bottom style="thin">
        <color rgb="FFDDDDDD"/>
      </bottom>
      <diagonal/>
    </border>
    <border>
      <left/>
      <right style="thin">
        <color rgb="FFFCD34D"/>
      </right>
      <top style="thin">
        <color rgb="FFFCD34D"/>
      </top>
      <bottom style="thin">
        <color rgb="FFFCD34D"/>
      </bottom>
      <diagonal/>
    </border>
    <border>
      <left/>
      <right/>
      <top style="thin">
        <color rgb="FFFCD34D"/>
      </top>
      <bottom style="thin">
        <color rgb="FFFCD34D"/>
      </bottom>
      <diagonal/>
    </border>
    <border>
      <left style="thin">
        <color rgb="FFFCD34D"/>
      </left>
      <right/>
      <top/>
      <bottom style="thin">
        <color rgb="FFFCD34D"/>
      </bottom>
      <diagonal/>
    </border>
    <border>
      <left/>
      <right style="thin">
        <color rgb="FFFCD34D"/>
      </right>
      <top style="thin">
        <color rgb="FFFCD34D"/>
      </top>
      <bottom/>
      <diagonal/>
    </border>
    <border>
      <left/>
      <right/>
      <top style="thin">
        <color rgb="FFFCD34D"/>
      </top>
      <bottom/>
      <diagonal/>
    </border>
    <border>
      <left style="thin">
        <color rgb="FFFCD34D"/>
      </left>
      <right/>
      <top/>
      <bottom/>
      <diagonal/>
    </border>
    <border>
      <left/>
      <right style="thin">
        <color rgb="FFFCD34D"/>
      </right>
      <top/>
      <bottom/>
      <diagonal/>
    </border>
    <border>
      <left style="thin">
        <color rgb="FFFCD34D"/>
      </left>
      <right/>
      <top style="thin">
        <color rgb="FFFCD34D"/>
      </top>
      <bottom/>
      <diagonal/>
    </border>
    <border>
      <left/>
      <right style="medium">
        <color rgb="FFFCD34D"/>
      </right>
      <top/>
      <bottom style="medium">
        <color rgb="FFFCD34D"/>
      </bottom>
      <diagonal/>
    </border>
    <border>
      <left/>
      <right/>
      <top/>
      <bottom style="medium">
        <color rgb="FFFCD34D"/>
      </bottom>
      <diagonal/>
    </border>
    <border>
      <left style="medium">
        <color rgb="FFFCD34D"/>
      </left>
      <right/>
      <top/>
      <bottom style="medium">
        <color rgb="FFFCD34D"/>
      </bottom>
      <diagonal/>
    </border>
    <border>
      <left/>
      <right/>
      <top/>
      <bottom style="thin">
        <color rgb="FFFCD34D"/>
      </bottom>
      <diagonal/>
    </border>
    <border>
      <left/>
      <right style="medium">
        <color rgb="FFFCD34D"/>
      </right>
      <top/>
      <bottom/>
      <diagonal/>
    </border>
    <border>
      <left style="medium">
        <color rgb="FFFCD34D"/>
      </left>
      <right/>
      <top/>
      <bottom/>
      <diagonal/>
    </border>
    <border>
      <left/>
      <right style="medium">
        <color rgb="FFFCD34D"/>
      </right>
      <top style="medium">
        <color rgb="FFFCD34D"/>
      </top>
      <bottom/>
      <diagonal/>
    </border>
    <border>
      <left/>
      <right/>
      <top style="medium">
        <color rgb="FFFCD34D"/>
      </top>
      <bottom/>
      <diagonal/>
    </border>
    <border>
      <left style="medium">
        <color rgb="FFFCD34D"/>
      </left>
      <right/>
      <top style="medium">
        <color rgb="FFFCD34D"/>
      </top>
      <bottom/>
      <diagonal/>
    </border>
    <border>
      <left/>
      <right/>
      <top style="thin">
        <color rgb="FFD7DEE8"/>
      </top>
      <bottom/>
      <diagonal/>
    </border>
    <border>
      <left style="thin">
        <color rgb="FFD7DEE8"/>
      </left>
      <right style="thin">
        <color rgb="FFD7DEE8"/>
      </right>
      <top style="thin">
        <color rgb="FFD7DEE8"/>
      </top>
      <bottom/>
      <diagonal/>
    </border>
    <border>
      <left style="thin">
        <color rgb="FF67E8F9"/>
      </left>
      <right style="thin">
        <color rgb="FF67E8F9"/>
      </right>
      <top style="thin">
        <color rgb="FF67E8F9"/>
      </top>
      <bottom/>
      <diagonal/>
    </border>
    <border>
      <left style="thin">
        <color rgb="FFD7DEE8"/>
      </left>
      <right style="thin">
        <color rgb="FFD7DEE8"/>
      </right>
      <top style="thin">
        <color rgb="FFD7DEE8"/>
      </top>
      <bottom style="thin">
        <color rgb="FFD7DEE8"/>
      </bottom>
      <diagonal/>
    </border>
    <border>
      <left style="thin">
        <color rgb="FF67E8F9"/>
      </left>
      <right style="thin">
        <color rgb="FF67E8F9"/>
      </right>
      <top style="thin">
        <color rgb="FF67E8F9"/>
      </top>
      <bottom style="thin">
        <color rgb="FF67E8F9"/>
      </bottom>
      <diagonal/>
    </border>
    <border>
      <left/>
      <right style="thin">
        <color rgb="FF0F766E"/>
      </right>
      <top style="thin">
        <color rgb="FF0F766E"/>
      </top>
      <bottom style="thin">
        <color rgb="FF0F766E"/>
      </bottom>
      <diagonal/>
    </border>
    <border>
      <left/>
      <right/>
      <top style="thin">
        <color rgb="FF0F766E"/>
      </top>
      <bottom style="thin">
        <color rgb="FF0F766E"/>
      </bottom>
      <diagonal/>
    </border>
    <border>
      <left style="thin">
        <color rgb="FF0F766E"/>
      </left>
      <right/>
      <top style="thin">
        <color rgb="FF0F766E"/>
      </top>
      <bottom style="thin">
        <color rgb="FF0F766E"/>
      </bottom>
      <diagonal/>
    </border>
    <border>
      <left/>
      <right style="thin">
        <color rgb="FFCBD5E1"/>
      </right>
      <top/>
      <bottom style="thin">
        <color rgb="FFCBD5E1"/>
      </bottom>
      <diagonal/>
    </border>
    <border>
      <left/>
      <right/>
      <top/>
      <bottom style="thin">
        <color rgb="FFCBD5E1"/>
      </bottom>
      <diagonal/>
    </border>
    <border>
      <left style="thin">
        <color rgb="FFCBD5E1"/>
      </left>
      <right/>
      <top/>
      <bottom style="thin">
        <color rgb="FFCBD5E1"/>
      </bottom>
      <diagonal/>
    </border>
    <border>
      <left/>
      <right style="thin">
        <color rgb="FFCBD5E1"/>
      </right>
      <top/>
      <bottom/>
      <diagonal/>
    </border>
    <border>
      <left style="thin">
        <color rgb="FFCBD5E1"/>
      </left>
      <right/>
      <top/>
      <bottom/>
      <diagonal/>
    </border>
    <border>
      <left/>
      <right style="thin">
        <color rgb="FFCBD5E1"/>
      </right>
      <top style="thin">
        <color rgb="FFCBD5E1"/>
      </top>
      <bottom/>
      <diagonal/>
    </border>
    <border>
      <left/>
      <right/>
      <top style="thin">
        <color rgb="FFCBD5E1"/>
      </top>
      <bottom/>
      <diagonal/>
    </border>
    <border>
      <left style="thin">
        <color rgb="FFCBD5E1"/>
      </left>
      <right/>
      <top style="thin">
        <color rgb="FFCBD5E1"/>
      </top>
      <bottom/>
      <diagonal/>
    </border>
    <border>
      <left/>
      <right style="thin">
        <color rgb="FFBAE6FD"/>
      </right>
      <top style="thin">
        <color rgb="FFBAE6FD"/>
      </top>
      <bottom/>
      <diagonal/>
    </border>
    <border>
      <left/>
      <right/>
      <top style="thin">
        <color rgb="FFBAE6FD"/>
      </top>
      <bottom/>
      <diagonal/>
    </border>
    <border>
      <left style="thin">
        <color rgb="FFBAE6FD"/>
      </left>
      <right/>
      <top style="thin">
        <color rgb="FFBAE6FD"/>
      </top>
      <bottom/>
      <diagonal/>
    </border>
    <border>
      <left style="thin">
        <color rgb="FFCBD5E1"/>
      </left>
      <right/>
      <top style="thin">
        <color rgb="FFCBD5E1"/>
      </top>
      <bottom style="thin">
        <color rgb="FFCBD5E1"/>
      </bottom>
      <diagonal/>
    </border>
    <border>
      <left/>
      <right/>
      <top style="thin">
        <color rgb="FFCBD5E1"/>
      </top>
      <bottom style="thin">
        <color rgb="FFCBD5E1"/>
      </bottom>
      <diagonal/>
    </border>
    <border>
      <left/>
      <right style="thin">
        <color rgb="FFCBD5E1"/>
      </right>
      <top style="thin">
        <color rgb="FFCBD5E1"/>
      </top>
      <bottom style="thin">
        <color rgb="FFCBD5E1"/>
      </bottom>
      <diagonal/>
    </border>
    <border>
      <left style="thin">
        <color rgb="FFCBD5E1"/>
      </left>
      <right style="thin">
        <color rgb="FFCBD5E1"/>
      </right>
      <top style="thin">
        <color rgb="FFCBD5E1"/>
      </top>
      <bottom style="thin">
        <color rgb="FFCBD5E1"/>
      </bottom>
      <diagonal/>
    </border>
    <border>
      <left style="thin">
        <color rgb="FFE2E8F0"/>
      </left>
      <right style="thin">
        <color rgb="FFE2E8F0"/>
      </right>
      <top style="thin">
        <color rgb="FFE2E8F0"/>
      </top>
      <bottom style="thin">
        <color rgb="FFE2E8F0"/>
      </bottom>
      <diagonal/>
    </border>
    <border>
      <left style="thin">
        <color theme="9" tint="0.59996337778862885"/>
      </left>
      <right/>
      <top style="thin">
        <color theme="9" tint="0.59996337778862885"/>
      </top>
      <bottom style="thin">
        <color theme="9" tint="0.59996337778862885"/>
      </bottom>
      <diagonal/>
    </border>
    <border>
      <left/>
      <right/>
      <top style="thin">
        <color theme="9" tint="0.59996337778862885"/>
      </top>
      <bottom style="thin">
        <color theme="9" tint="0.59996337778862885"/>
      </bottom>
      <diagonal/>
    </border>
    <border>
      <left style="medium">
        <color theme="9" tint="-0.24994659260841701"/>
      </left>
      <right style="medium">
        <color theme="9" tint="-0.24994659260841701"/>
      </right>
      <top style="thin">
        <color theme="9" tint="-0.24994659260841701"/>
      </top>
      <bottom style="thin">
        <color theme="9" tint="-0.24994659260841701"/>
      </bottom>
      <diagonal/>
    </border>
    <border>
      <left/>
      <right style="thin">
        <color theme="9" tint="0.59996337778862885"/>
      </right>
      <top style="thin">
        <color theme="9" tint="0.59996337778862885"/>
      </top>
      <bottom style="thin">
        <color theme="9" tint="0.59996337778862885"/>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theme="9" tint="0.59996337778862885"/>
      </right>
      <top style="thin">
        <color theme="9" tint="0.59996337778862885"/>
      </top>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thin">
        <color theme="9" tint="0.59996337778862885"/>
      </left>
      <right/>
      <top/>
      <bottom style="thin">
        <color theme="9" tint="0.59996337778862885"/>
      </bottom>
      <diagonal/>
    </border>
    <border>
      <left/>
      <right/>
      <top/>
      <bottom style="thin">
        <color theme="9" tint="0.59996337778862885"/>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right style="thin">
        <color theme="9" tint="0.59996337778862885"/>
      </right>
      <top/>
      <bottom style="thin">
        <color theme="9" tint="0.59996337778862885"/>
      </bottom>
      <diagonal/>
    </border>
    <border>
      <left style="medium">
        <color theme="9" tint="-0.24994659260841701"/>
      </left>
      <right style="medium">
        <color theme="9" tint="-0.24994659260841701"/>
      </right>
      <top style="medium">
        <color theme="9" tint="-0.24994659260841701"/>
      </top>
      <bottom style="thin">
        <color theme="9" tint="-0.24994659260841701"/>
      </bottom>
      <diagonal/>
    </border>
    <border>
      <left style="thin">
        <color rgb="FFD6E0DB"/>
      </left>
      <right/>
      <top style="thin">
        <color rgb="FFD6E0DB"/>
      </top>
      <bottom/>
      <diagonal/>
    </border>
    <border>
      <left/>
      <right/>
      <top style="thin">
        <color rgb="FFD6E0DB"/>
      </top>
      <bottom/>
      <diagonal/>
    </border>
    <border>
      <left/>
      <right style="thin">
        <color rgb="FFD6E0DB"/>
      </right>
      <top style="thin">
        <color rgb="FFD6E0DB"/>
      </top>
      <bottom/>
      <diagonal/>
    </border>
    <border>
      <left style="thin">
        <color rgb="FFD6E0DB"/>
      </left>
      <right/>
      <top/>
      <bottom/>
      <diagonal/>
    </border>
    <border>
      <left/>
      <right style="thin">
        <color rgb="FFD6E0DB"/>
      </right>
      <top/>
      <bottom/>
      <diagonal/>
    </border>
    <border>
      <left style="thin">
        <color rgb="FFD6E0DB"/>
      </left>
      <right/>
      <top/>
      <bottom style="thin">
        <color rgb="FFD6E0DB"/>
      </bottom>
      <diagonal/>
    </border>
    <border>
      <left/>
      <right/>
      <top/>
      <bottom style="thin">
        <color rgb="FFD6E0DB"/>
      </bottom>
      <diagonal/>
    </border>
    <border>
      <left/>
      <right style="thin">
        <color rgb="FFD6E0DB"/>
      </right>
      <top/>
      <bottom style="thin">
        <color rgb="FFD6E0DB"/>
      </bottom>
      <diagonal/>
    </border>
    <border>
      <left style="thin">
        <color theme="4" tint="0.59996337778862885"/>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style="thin">
        <color theme="8" tint="0.39994506668294322"/>
      </left>
      <right/>
      <top style="thin">
        <color theme="8" tint="0.39994506668294322"/>
      </top>
      <bottom style="thin">
        <color theme="8" tint="0.39994506668294322"/>
      </bottom>
      <diagonal/>
    </border>
    <border>
      <left/>
      <right/>
      <top style="thin">
        <color theme="8" tint="0.39994506668294322"/>
      </top>
      <bottom style="thin">
        <color theme="8" tint="0.39994506668294322"/>
      </bottom>
      <diagonal/>
    </border>
    <border>
      <left/>
      <right style="thin">
        <color theme="8" tint="0.39994506668294322"/>
      </right>
      <top style="thin">
        <color theme="8" tint="0.39994506668294322"/>
      </top>
      <bottom style="thin">
        <color theme="8"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rgb="FFE5E7EB"/>
      </left>
      <right style="thin">
        <color rgb="FFE5E7EB"/>
      </right>
      <top style="thin">
        <color rgb="FFE5E7EB"/>
      </top>
      <bottom/>
      <diagonal/>
    </border>
    <border>
      <left style="thin">
        <color rgb="FFE5E7EB"/>
      </left>
      <right style="thin">
        <color rgb="FFE5E7EB"/>
      </right>
      <top/>
      <bottom style="thin">
        <color rgb="FFE5E7EB"/>
      </bottom>
      <diagonal/>
    </border>
    <border>
      <left/>
      <right/>
      <top style="hair">
        <color rgb="FF6B705C"/>
      </top>
      <bottom style="hair">
        <color rgb="FF6B705C"/>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style="hair">
        <color rgb="FF6B705C"/>
      </right>
      <top style="hair">
        <color rgb="FF6B705C"/>
      </top>
      <bottom style="hair">
        <color rgb="FF6B705C"/>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double">
        <color theme="9" tint="0.39994506668294322"/>
      </top>
      <bottom/>
      <diagonal/>
    </border>
    <border>
      <left style="thin">
        <color rgb="FFD9EAD3"/>
      </left>
      <right/>
      <top style="thin">
        <color rgb="FFB7D7A8"/>
      </top>
      <bottom/>
      <diagonal/>
    </border>
    <border>
      <left/>
      <right/>
      <top style="thin">
        <color rgb="FFB7D7A8"/>
      </top>
      <bottom/>
      <diagonal/>
    </border>
    <border>
      <left style="thin">
        <color theme="9" tint="-0.24994659260841701"/>
      </left>
      <right/>
      <top style="thin">
        <color rgb="FFD1D5DB"/>
      </top>
      <bottom/>
      <diagonal/>
    </border>
    <border>
      <left style="thin">
        <color theme="9" tint="-0.24994659260841701"/>
      </left>
      <right/>
      <top/>
      <bottom/>
      <diagonal/>
    </border>
    <border>
      <left/>
      <right style="hair">
        <color theme="9" tint="-0.24994659260841701"/>
      </right>
      <top style="thin">
        <color rgb="FFD1D5DB"/>
      </top>
      <bottom/>
      <diagonal/>
    </border>
    <border>
      <left/>
      <right style="hair">
        <color theme="9" tint="-0.24994659260841701"/>
      </right>
      <top/>
      <bottom/>
      <diagonal/>
    </border>
    <border>
      <left style="thin">
        <color rgb="FFD7DEE8"/>
      </left>
      <right/>
      <top/>
      <bottom/>
      <diagonal/>
    </border>
    <border>
      <left/>
      <right style="thin">
        <color rgb="FFD6E4EA"/>
      </right>
      <top/>
      <bottom/>
      <diagonal/>
    </border>
    <border>
      <left style="thin">
        <color rgb="FFD6E4EA"/>
      </left>
      <right/>
      <top/>
      <bottom/>
      <diagonal/>
    </border>
    <border>
      <left/>
      <right style="thin">
        <color rgb="FFB7D7BF"/>
      </right>
      <top style="thin">
        <color rgb="FFB7D7BF"/>
      </top>
      <bottom style="thin">
        <color rgb="FFB7D7BF"/>
      </bottom>
      <diagonal/>
    </border>
    <border>
      <left/>
      <right style="thin">
        <color rgb="FFE5E7EB"/>
      </right>
      <top/>
      <bottom style="thin">
        <color rgb="FFE5E7EB"/>
      </bottom>
      <diagonal/>
    </border>
    <border>
      <left style="thin">
        <color rgb="FFE5E7EB"/>
      </left>
      <right/>
      <top/>
      <bottom style="thin">
        <color rgb="FFE5E7EB"/>
      </bottom>
      <diagonal/>
    </border>
    <border>
      <left/>
      <right style="thin">
        <color rgb="FFF3F4F6"/>
      </right>
      <top/>
      <bottom style="thin">
        <color rgb="FFF3F4F6"/>
      </bottom>
      <diagonal/>
    </border>
    <border>
      <left style="thin">
        <color rgb="FFF3F4F6"/>
      </left>
      <right style="thin">
        <color rgb="FFF3F4F6"/>
      </right>
      <top/>
      <bottom style="thin">
        <color rgb="FFF3F4F6"/>
      </bottom>
      <diagonal/>
    </border>
    <border>
      <left style="thin">
        <color rgb="FFF3F4F6"/>
      </left>
      <right/>
      <top/>
      <bottom style="thin">
        <color rgb="FFF3F4F6"/>
      </bottom>
      <diagonal/>
    </border>
    <border>
      <left/>
      <right style="thin">
        <color rgb="FFF3F4F6"/>
      </right>
      <top style="thin">
        <color rgb="FFF3F4F6"/>
      </top>
      <bottom style="thin">
        <color rgb="FFF3F4F6"/>
      </bottom>
      <diagonal/>
    </border>
    <border>
      <left style="thin">
        <color rgb="FFF3F4F6"/>
      </left>
      <right style="thin">
        <color rgb="FFF3F4F6"/>
      </right>
      <top style="thin">
        <color rgb="FFF3F4F6"/>
      </top>
      <bottom style="thin">
        <color rgb="FFF3F4F6"/>
      </bottom>
      <diagonal/>
    </border>
    <border>
      <left style="thin">
        <color rgb="FFF3F4F6"/>
      </left>
      <right/>
      <top style="thin">
        <color rgb="FFF3F4F6"/>
      </top>
      <bottom style="thin">
        <color rgb="FFF3F4F6"/>
      </bottom>
      <diagonal/>
    </border>
    <border>
      <left/>
      <right style="thin">
        <color rgb="FFE5E7EB"/>
      </right>
      <top style="thin">
        <color rgb="FFE5E7EB"/>
      </top>
      <bottom/>
      <diagonal/>
    </border>
    <border>
      <left style="thin">
        <color rgb="FFE5E7EB"/>
      </left>
      <right/>
      <top style="thin">
        <color rgb="FFE5E7EB"/>
      </top>
      <bottom/>
      <diagonal/>
    </border>
    <border>
      <left style="thin">
        <color rgb="FF833C0C"/>
      </left>
      <right/>
      <top style="thin">
        <color rgb="FF833C0C"/>
      </top>
      <bottom style="thin">
        <color rgb="FF833C0C"/>
      </bottom>
      <diagonal/>
    </border>
    <border>
      <left/>
      <right/>
      <top style="thin">
        <color rgb="FF833C0C"/>
      </top>
      <bottom style="thin">
        <color rgb="FF833C0C"/>
      </bottom>
      <diagonal/>
    </border>
    <border>
      <left/>
      <right style="thin">
        <color rgb="FF833C0C"/>
      </right>
      <top style="thin">
        <color rgb="FF833C0C"/>
      </top>
      <bottom style="thin">
        <color rgb="FF833C0C"/>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rgb="FFD9E2F3"/>
      </left>
      <right style="thin">
        <color rgb="FFD9E2F3"/>
      </right>
      <top style="thin">
        <color rgb="FFD9E2F3"/>
      </top>
      <bottom style="thin">
        <color rgb="FFD9E2F3"/>
      </bottom>
      <diagonal/>
    </border>
    <border>
      <left/>
      <right style="thin">
        <color rgb="FFD9E2F3"/>
      </right>
      <top/>
      <bottom/>
      <diagonal/>
    </border>
    <border>
      <left/>
      <right/>
      <top style="thin">
        <color theme="0" tint="-0.499984740745262"/>
      </top>
      <bottom style="medium">
        <color rgb="FFA6A6A6"/>
      </bottom>
      <diagonal/>
    </border>
    <border>
      <left/>
      <right style="thin">
        <color rgb="FFD9E2F3"/>
      </right>
      <top style="thin">
        <color theme="0" tint="-0.499984740745262"/>
      </top>
      <bottom style="medium">
        <color rgb="FFA6A6A6"/>
      </bottom>
      <diagonal/>
    </border>
    <border>
      <left/>
      <right/>
      <top/>
      <bottom style="medium">
        <color rgb="FFA6A6A6"/>
      </bottom>
      <diagonal/>
    </border>
    <border>
      <left/>
      <right style="thin">
        <color rgb="FFD9E2F3"/>
      </right>
      <top/>
      <bottom style="medium">
        <color rgb="FFA6A6A6"/>
      </bottom>
      <diagonal/>
    </border>
    <border>
      <left/>
      <right/>
      <top style="medium">
        <color rgb="FFA6A6A6"/>
      </top>
      <bottom style="thin">
        <color rgb="FFD9E2F3"/>
      </bottom>
      <diagonal/>
    </border>
    <border>
      <left style="thin">
        <color rgb="FFD9E2F3"/>
      </left>
      <right style="thin">
        <color rgb="FFD9E2F3"/>
      </right>
      <top style="thin">
        <color rgb="FFD0D7DE"/>
      </top>
      <bottom/>
      <diagonal/>
    </border>
    <border>
      <left style="thin">
        <color rgb="FFD9E2F3"/>
      </left>
      <right style="thin">
        <color rgb="FFD9E2F3"/>
      </right>
      <top/>
      <bottom/>
      <diagonal/>
    </border>
    <border>
      <left style="thin">
        <color rgb="FFD9E2F3"/>
      </left>
      <right style="thin">
        <color rgb="FFD9E2F3"/>
      </right>
      <top/>
      <bottom style="thin">
        <color rgb="FFD9E2F3"/>
      </bottom>
      <diagonal/>
    </border>
    <border>
      <left style="thin">
        <color rgb="FFD0D7DE"/>
      </left>
      <right/>
      <top style="thin">
        <color rgb="FFD9E2F3"/>
      </top>
      <bottom/>
      <diagonal/>
    </border>
    <border>
      <left/>
      <right/>
      <top style="thin">
        <color rgb="FFD9E2F3"/>
      </top>
      <bottom/>
      <diagonal/>
    </border>
    <border>
      <left/>
      <right style="thin">
        <color rgb="FFD9E2F3"/>
      </right>
      <top style="thin">
        <color rgb="FFD9E2F3"/>
      </top>
      <bottom/>
      <diagonal/>
    </border>
    <border>
      <left style="thin">
        <color rgb="FFD0D7DE"/>
      </left>
      <right/>
      <top/>
      <bottom style="medium">
        <color rgb="FFA6A6A6"/>
      </bottom>
      <diagonal/>
    </border>
    <border>
      <left style="thin">
        <color rgb="FFD0D7DE"/>
      </left>
      <right/>
      <top style="medium">
        <color rgb="FFA6A6A6"/>
      </top>
      <bottom style="thin">
        <color rgb="FFD0D7DE"/>
      </bottom>
      <diagonal/>
    </border>
    <border>
      <left/>
      <right/>
      <top style="medium">
        <color rgb="FFA6A6A6"/>
      </top>
      <bottom style="thin">
        <color rgb="FFD0D7DE"/>
      </bottom>
      <diagonal/>
    </border>
    <border>
      <left style="thin">
        <color rgb="FFD0D7DE"/>
      </left>
      <right/>
      <top/>
      <bottom style="thin">
        <color theme="9" tint="-0.24994659260841701"/>
      </bottom>
      <diagonal/>
    </border>
    <border>
      <left/>
      <right/>
      <top/>
      <bottom style="thin">
        <color theme="9" tint="-0.24994659260841701"/>
      </bottom>
      <diagonal/>
    </border>
    <border>
      <left/>
      <right style="thin">
        <color rgb="FFD9E2F3"/>
      </right>
      <top/>
      <bottom style="thin">
        <color theme="9" tint="-0.24994659260841701"/>
      </bottom>
      <diagonal/>
    </border>
    <border>
      <left/>
      <right/>
      <top/>
      <bottom style="thin">
        <color rgb="FFD9E2F3"/>
      </bottom>
      <diagonal/>
    </border>
    <border>
      <left style="thin">
        <color rgb="FFD9E2F3"/>
      </left>
      <right/>
      <top style="thin">
        <color rgb="FFD9E2F3"/>
      </top>
      <bottom/>
      <diagonal/>
    </border>
    <border>
      <left style="thin">
        <color rgb="FFD9E2F3"/>
      </left>
      <right/>
      <top/>
      <bottom/>
      <diagonal/>
    </border>
    <border>
      <left style="thin">
        <color rgb="FFD9E2F3"/>
      </left>
      <right/>
      <top/>
      <bottom style="medium">
        <color rgb="FFA6A6A6"/>
      </bottom>
      <diagonal/>
    </border>
    <border>
      <left style="hair">
        <color rgb="FF808080"/>
      </left>
      <right style="hair">
        <color rgb="FF808080"/>
      </right>
      <top style="hair">
        <color rgb="FF808080"/>
      </top>
      <bottom style="hair">
        <color rgb="FF808080"/>
      </bottom>
      <diagonal/>
    </border>
    <border>
      <left/>
      <right style="thin">
        <color rgb="FFD9E2EA"/>
      </right>
      <top/>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auto="1"/>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7030A0"/>
      </left>
      <right style="thin">
        <color rgb="FF7030A0"/>
      </right>
      <top style="thin">
        <color rgb="FF7030A0"/>
      </top>
      <bottom style="thin">
        <color rgb="FF7030A0"/>
      </bottom>
      <diagonal/>
    </border>
    <border>
      <left/>
      <right/>
      <top/>
      <bottom style="hair">
        <color auto="1"/>
      </bottom>
      <diagonal/>
    </border>
    <border>
      <left/>
      <right style="medium">
        <color indexed="64"/>
      </right>
      <top/>
      <bottom style="hair">
        <color auto="1"/>
      </bottom>
      <diagonal/>
    </border>
    <border>
      <left/>
      <right/>
      <top style="hair">
        <color auto="1"/>
      </top>
      <bottom/>
      <diagonal/>
    </border>
    <border>
      <left/>
      <right style="medium">
        <color auto="1"/>
      </right>
      <top style="hair">
        <color auto="1"/>
      </top>
      <bottom/>
      <diagonal/>
    </border>
    <border>
      <left/>
      <right/>
      <top style="hair">
        <color auto="1"/>
      </top>
      <bottom style="hair">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hair">
        <color indexed="64"/>
      </bottom>
      <diagonal/>
    </border>
    <border>
      <left/>
      <right style="medium">
        <color indexed="64"/>
      </right>
      <top style="hair">
        <color auto="1"/>
      </top>
      <bottom style="hair">
        <color auto="1"/>
      </bottom>
      <diagonal/>
    </border>
    <border>
      <left/>
      <right style="medium">
        <color auto="1"/>
      </right>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style="medium">
        <color auto="1"/>
      </top>
      <bottom style="thin">
        <color indexed="64"/>
      </bottom>
      <diagonal/>
    </border>
    <border>
      <left/>
      <right/>
      <top style="medium">
        <color indexed="64"/>
      </top>
      <bottom style="thin">
        <color indexed="64"/>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hair">
        <color indexed="64"/>
      </right>
      <top style="hair">
        <color indexed="64"/>
      </top>
      <bottom/>
      <diagonal/>
    </border>
    <border>
      <left style="hair">
        <color indexed="60"/>
      </left>
      <right style="hair">
        <color indexed="64"/>
      </right>
      <top/>
      <bottom style="hair">
        <color indexed="64"/>
      </bottom>
      <diagonal/>
    </border>
    <border>
      <left style="hair">
        <color auto="1"/>
      </left>
      <right style="hair">
        <color indexed="64"/>
      </right>
      <top/>
      <bottom style="hair">
        <color auto="1"/>
      </bottom>
      <diagonal/>
    </border>
    <border>
      <left style="hair">
        <color auto="1"/>
      </left>
      <right style="medium">
        <color auto="1"/>
      </right>
      <top style="hair">
        <color auto="1"/>
      </top>
      <bottom style="hair">
        <color auto="1"/>
      </bottom>
      <diagonal/>
    </border>
    <border>
      <left/>
      <right style="hair">
        <color indexed="64"/>
      </right>
      <top/>
      <bottom/>
      <diagonal/>
    </border>
    <border>
      <left style="thin">
        <color indexed="10"/>
      </left>
      <right style="thin">
        <color indexed="10"/>
      </right>
      <top style="thin">
        <color indexed="10"/>
      </top>
      <bottom style="thin">
        <color indexed="10"/>
      </bottom>
      <diagonal/>
    </border>
    <border>
      <left/>
      <right/>
      <top style="thin">
        <color indexed="10"/>
      </top>
      <bottom/>
      <diagonal/>
    </border>
    <border>
      <left/>
      <right style="hair">
        <color auto="1"/>
      </right>
      <top/>
      <bottom style="thin">
        <color indexed="64"/>
      </bottom>
      <diagonal/>
    </border>
    <border>
      <left/>
      <right style="thin">
        <color indexed="64"/>
      </right>
      <top/>
      <bottom style="medium">
        <color auto="1"/>
      </bottom>
      <diagonal/>
    </border>
    <border>
      <left/>
      <right style="mediumDashed">
        <color rgb="FF833C0C"/>
      </right>
      <top style="mediumDashed">
        <color rgb="FF833C0C"/>
      </top>
      <bottom style="mediumDashed">
        <color rgb="FF833C0C"/>
      </bottom>
      <diagonal/>
    </border>
    <border>
      <left style="thin">
        <color rgb="FFD9E2F3"/>
      </left>
      <right style="thin">
        <color rgb="FFD9E2F3"/>
      </right>
      <top style="thin">
        <color rgb="FFD9E2F3"/>
      </top>
      <bottom/>
      <diagonal/>
    </border>
    <border>
      <left/>
      <right/>
      <top style="mediumDashed">
        <color rgb="FF833C0C"/>
      </top>
      <bottom style="mediumDashed">
        <color rgb="FF833C0C"/>
      </bottom>
      <diagonal/>
    </border>
    <border>
      <left/>
      <right style="mediumDashed">
        <color theme="9" tint="-0.499984740745262"/>
      </right>
      <top style="mediumDashed">
        <color theme="9" tint="-0.499984740745262"/>
      </top>
      <bottom style="mediumDashed">
        <color theme="9" tint="-0.499984740745262"/>
      </bottom>
      <diagonal/>
    </border>
    <border>
      <left/>
      <right/>
      <top style="mediumDashed">
        <color theme="9" tint="-0.499984740745262"/>
      </top>
      <bottom style="mediumDashed">
        <color theme="9" tint="-0.499984740745262"/>
      </bottom>
      <diagonal/>
    </border>
    <border>
      <left/>
      <right style="thin">
        <color rgb="FFD9E2F3"/>
      </right>
      <top style="thin">
        <color theme="0" tint="-0.49995422223578601"/>
      </top>
      <bottom style="medium">
        <color rgb="FFA6A6A6"/>
      </bottom>
      <diagonal/>
    </border>
    <border>
      <left/>
      <right/>
      <top style="thin">
        <color theme="0" tint="-0.49995422223578601"/>
      </top>
      <bottom style="medium">
        <color rgb="FFA6A6A6"/>
      </bottom>
      <diagonal/>
    </border>
    <border>
      <left/>
      <right/>
      <top/>
      <bottom style="thin">
        <color theme="0" tint="-0.49995422223578601"/>
      </bottom>
      <diagonal/>
    </border>
    <border>
      <left style="thin">
        <color theme="0" tint="-0.49995422223578601"/>
      </left>
      <right/>
      <top/>
      <bottom style="thin">
        <color theme="0" tint="-0.49995422223578601"/>
      </bottom>
      <diagonal/>
    </border>
  </borders>
  <cellStyleXfs count="23">
    <xf numFmtId="0" fontId="0" fillId="0" borderId="0"/>
    <xf numFmtId="0" fontId="4" fillId="0" borderId="0"/>
    <xf numFmtId="0" fontId="13" fillId="0" borderId="0"/>
    <xf numFmtId="0" fontId="27" fillId="0" borderId="0"/>
    <xf numFmtId="0" fontId="26" fillId="0" borderId="0"/>
    <xf numFmtId="0" fontId="81" fillId="0" borderId="0"/>
    <xf numFmtId="0" fontId="2" fillId="0" borderId="0"/>
    <xf numFmtId="0" fontId="26" fillId="0" borderId="0"/>
    <xf numFmtId="0" fontId="2" fillId="0" borderId="0"/>
    <xf numFmtId="0" fontId="138" fillId="0" borderId="0" applyNumberFormat="0" applyFill="0" applyBorder="0" applyAlignment="0" applyProtection="0"/>
    <xf numFmtId="0" fontId="138" fillId="0" borderId="0" applyNumberFormat="0" applyFill="0" applyBorder="0" applyAlignment="0" applyProtection="0"/>
    <xf numFmtId="0" fontId="146" fillId="0" borderId="0" applyNumberFormat="0" applyFill="0" applyBorder="0" applyAlignment="0" applyProtection="0"/>
    <xf numFmtId="0" fontId="2" fillId="0" borderId="0"/>
    <xf numFmtId="0" fontId="26" fillId="0" borderId="0"/>
    <xf numFmtId="0" fontId="160" fillId="0" borderId="0"/>
    <xf numFmtId="0" fontId="168" fillId="0" borderId="0"/>
    <xf numFmtId="0" fontId="2" fillId="0" borderId="0"/>
    <xf numFmtId="0" fontId="4" fillId="0" borderId="0"/>
    <xf numFmtId="0" fontId="13" fillId="0" borderId="0"/>
    <xf numFmtId="0" fontId="1" fillId="0" borderId="0"/>
    <xf numFmtId="0" fontId="4" fillId="0" borderId="0"/>
    <xf numFmtId="0" fontId="13" fillId="0" borderId="0"/>
    <xf numFmtId="0" fontId="4" fillId="0" borderId="0"/>
  </cellStyleXfs>
  <cellXfs count="1335">
    <xf numFmtId="0" fontId="0" fillId="0" borderId="0" xfId="0"/>
    <xf numFmtId="0" fontId="5" fillId="3"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7" fillId="0" borderId="0" xfId="0" applyFont="1" applyAlignment="1">
      <alignment vertical="center"/>
    </xf>
    <xf numFmtId="0" fontId="6" fillId="0" borderId="1" xfId="0" applyFont="1" applyBorder="1" applyAlignment="1">
      <alignment vertical="center" wrapText="1"/>
    </xf>
    <xf numFmtId="0" fontId="6" fillId="5" borderId="1" xfId="0" applyFont="1" applyFill="1" applyBorder="1" applyAlignment="1">
      <alignment vertical="center" wrapText="1"/>
    </xf>
    <xf numFmtId="0" fontId="10" fillId="0" borderId="1" xfId="0" applyFont="1" applyBorder="1" applyAlignment="1">
      <alignment vertical="center" wrapText="1"/>
    </xf>
    <xf numFmtId="0" fontId="6" fillId="0" borderId="1" xfId="0" applyFont="1" applyBorder="1" applyAlignment="1">
      <alignment horizontal="center" vertical="center" wrapText="1"/>
    </xf>
    <xf numFmtId="0" fontId="11" fillId="7" borderId="1" xfId="0" applyFont="1" applyFill="1" applyBorder="1" applyAlignment="1">
      <alignment vertical="center"/>
    </xf>
    <xf numFmtId="0" fontId="12" fillId="7" borderId="0" xfId="0" applyFont="1" applyFill="1" applyAlignment="1">
      <alignment vertical="center"/>
    </xf>
    <xf numFmtId="0" fontId="6" fillId="7" borderId="1" xfId="0" applyFont="1" applyFill="1" applyBorder="1" applyAlignment="1">
      <alignment vertical="center"/>
    </xf>
    <xf numFmtId="0" fontId="6" fillId="5" borderId="1" xfId="0" applyFont="1" applyFill="1" applyBorder="1" applyAlignment="1">
      <alignment horizontal="center" vertical="center" wrapText="1"/>
    </xf>
    <xf numFmtId="0" fontId="9" fillId="0" borderId="1" xfId="0" applyFont="1" applyBorder="1" applyAlignment="1">
      <alignment vertical="center"/>
    </xf>
    <xf numFmtId="0" fontId="0" fillId="0" borderId="0" xfId="0" applyAlignment="1">
      <alignment horizontal="center" vertical="center" wrapText="1"/>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right" vertical="center"/>
    </xf>
    <xf numFmtId="0" fontId="15" fillId="8" borderId="0" xfId="0" applyFont="1" applyFill="1" applyAlignment="1">
      <alignment vertical="center"/>
    </xf>
    <xf numFmtId="0" fontId="16" fillId="8" borderId="0" xfId="0" applyFont="1" applyFill="1" applyAlignment="1">
      <alignment vertical="center"/>
    </xf>
    <xf numFmtId="0" fontId="17" fillId="8" borderId="0" xfId="0" applyFont="1" applyFill="1" applyAlignment="1">
      <alignment vertical="center" wrapText="1"/>
    </xf>
    <xf numFmtId="0" fontId="17" fillId="8" borderId="0" xfId="0" applyFont="1" applyFill="1" applyAlignment="1">
      <alignment vertical="center"/>
    </xf>
    <xf numFmtId="0" fontId="15" fillId="9" borderId="0" xfId="0" applyFont="1" applyFill="1" applyAlignment="1">
      <alignment vertical="center"/>
    </xf>
    <xf numFmtId="0" fontId="16" fillId="9" borderId="0" xfId="0" applyFont="1" applyFill="1" applyAlignment="1">
      <alignment vertical="center"/>
    </xf>
    <xf numFmtId="0" fontId="17" fillId="9" borderId="0" xfId="0" applyFont="1" applyFill="1" applyAlignment="1">
      <alignment vertical="center"/>
    </xf>
    <xf numFmtId="0" fontId="17" fillId="8" borderId="0" xfId="0" applyFont="1" applyFill="1" applyAlignment="1">
      <alignment horizontal="center" vertical="center"/>
    </xf>
    <xf numFmtId="0" fontId="13" fillId="0" borderId="0" xfId="2" applyAlignment="1">
      <alignment vertical="center"/>
    </xf>
    <xf numFmtId="0" fontId="16" fillId="0" borderId="0" xfId="2" applyFont="1" applyAlignment="1">
      <alignment vertical="center"/>
    </xf>
    <xf numFmtId="0" fontId="13" fillId="0" borderId="0" xfId="0" applyFont="1" applyAlignment="1">
      <alignment vertical="center" wrapText="1"/>
    </xf>
    <xf numFmtId="0" fontId="22" fillId="0" borderId="1" xfId="2" applyFont="1" applyBorder="1" applyAlignment="1">
      <alignment vertical="center"/>
    </xf>
    <xf numFmtId="0" fontId="22" fillId="0" borderId="1" xfId="2" applyFont="1" applyBorder="1" applyAlignment="1">
      <alignment vertical="center" wrapText="1"/>
    </xf>
    <xf numFmtId="0" fontId="22" fillId="4" borderId="1" xfId="2" applyFont="1" applyFill="1" applyBorder="1" applyAlignment="1">
      <alignment horizontal="center" vertical="center" wrapText="1"/>
    </xf>
    <xf numFmtId="0" fontId="22" fillId="5" borderId="1" xfId="2" applyFont="1" applyFill="1" applyBorder="1" applyAlignment="1">
      <alignment vertical="center" wrapText="1"/>
    </xf>
    <xf numFmtId="0" fontId="22" fillId="5" borderId="1" xfId="2" applyFont="1" applyFill="1" applyBorder="1" applyAlignment="1">
      <alignment horizontal="center" vertical="center" wrapText="1"/>
    </xf>
    <xf numFmtId="0" fontId="22" fillId="6" borderId="1" xfId="2" applyFont="1" applyFill="1" applyBorder="1" applyAlignment="1">
      <alignment horizontal="center" vertical="center" wrapText="1"/>
    </xf>
    <xf numFmtId="0" fontId="22" fillId="0" borderId="1" xfId="2" applyFont="1" applyBorder="1" applyAlignment="1">
      <alignment horizontal="center" vertical="center" wrapText="1"/>
    </xf>
    <xf numFmtId="0" fontId="18" fillId="0" borderId="0" xfId="2" applyFont="1" applyAlignment="1">
      <alignment vertical="center"/>
    </xf>
    <xf numFmtId="0" fontId="22" fillId="0" borderId="11" xfId="2" applyFont="1" applyBorder="1" applyAlignment="1">
      <alignment vertical="center" wrapText="1"/>
    </xf>
    <xf numFmtId="0" fontId="22" fillId="0" borderId="11" xfId="2" applyFont="1" applyBorder="1" applyAlignment="1">
      <alignment horizontal="center" vertical="center" wrapText="1"/>
    </xf>
    <xf numFmtId="0" fontId="13" fillId="0" borderId="12" xfId="2" applyBorder="1" applyAlignment="1">
      <alignment vertical="center" wrapText="1"/>
    </xf>
    <xf numFmtId="0" fontId="13" fillId="0" borderId="13" xfId="2" applyBorder="1" applyAlignment="1">
      <alignment vertical="center" wrapText="1"/>
    </xf>
    <xf numFmtId="0" fontId="13" fillId="0" borderId="14" xfId="2" applyBorder="1" applyAlignment="1">
      <alignment vertical="center" wrapText="1"/>
    </xf>
    <xf numFmtId="0" fontId="13" fillId="0" borderId="15" xfId="2" applyBorder="1" applyAlignment="1">
      <alignment vertical="center" wrapText="1"/>
    </xf>
    <xf numFmtId="0" fontId="13" fillId="0" borderId="16" xfId="2" applyBorder="1" applyAlignment="1">
      <alignment vertical="center" wrapText="1"/>
    </xf>
    <xf numFmtId="0" fontId="13" fillId="0" borderId="17" xfId="2" applyBorder="1" applyAlignment="1">
      <alignment vertical="center" wrapText="1"/>
    </xf>
    <xf numFmtId="0" fontId="23" fillId="0" borderId="1" xfId="0" applyFont="1" applyBorder="1" applyAlignment="1">
      <alignment vertical="center"/>
    </xf>
    <xf numFmtId="0" fontId="28" fillId="14" borderId="0" xfId="1" applyFont="1" applyFill="1" applyAlignment="1" applyProtection="1">
      <alignment horizontal="left" vertical="center"/>
      <protection hidden="1"/>
    </xf>
    <xf numFmtId="0" fontId="29" fillId="14" borderId="0" xfId="1" applyFont="1" applyFill="1" applyAlignment="1" applyProtection="1">
      <alignment vertical="center"/>
      <protection hidden="1"/>
    </xf>
    <xf numFmtId="0" fontId="28" fillId="14" borderId="0" xfId="3" applyFont="1" applyFill="1" applyAlignment="1">
      <alignment horizontal="left" vertical="center"/>
    </xf>
    <xf numFmtId="0" fontId="6" fillId="0" borderId="18" xfId="0" applyFont="1" applyBorder="1" applyAlignment="1">
      <alignment vertical="center"/>
    </xf>
    <xf numFmtId="0" fontId="7" fillId="0" borderId="20" xfId="0" applyFont="1" applyBorder="1" applyAlignment="1">
      <alignment vertical="center"/>
    </xf>
    <xf numFmtId="0" fontId="7" fillId="0" borderId="19" xfId="0" applyFont="1" applyBorder="1" applyAlignment="1">
      <alignment vertical="center"/>
    </xf>
    <xf numFmtId="0" fontId="6"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0" fillId="8" borderId="0" xfId="0" applyFill="1" applyAlignment="1">
      <alignment vertical="center"/>
    </xf>
    <xf numFmtId="0" fontId="32" fillId="0" borderId="33" xfId="2" applyFont="1" applyBorder="1" applyAlignment="1">
      <alignment vertical="center" wrapText="1"/>
    </xf>
    <xf numFmtId="0" fontId="33" fillId="16" borderId="35" xfId="2" applyFont="1" applyFill="1" applyBorder="1" applyAlignment="1">
      <alignment horizontal="center" vertical="center" wrapText="1"/>
    </xf>
    <xf numFmtId="0" fontId="33" fillId="16" borderId="36" xfId="2" applyFont="1" applyFill="1" applyBorder="1" applyAlignment="1">
      <alignment horizontal="center" vertical="center" wrapText="1"/>
    </xf>
    <xf numFmtId="0" fontId="20" fillId="0" borderId="1" xfId="2" applyFont="1" applyBorder="1" applyAlignment="1">
      <alignment horizontal="right" vertical="center"/>
    </xf>
    <xf numFmtId="0" fontId="22" fillId="0" borderId="1" xfId="2" applyFont="1" applyBorder="1" applyAlignment="1">
      <alignment horizontal="center" vertical="center"/>
    </xf>
    <xf numFmtId="164" fontId="22" fillId="0" borderId="1" xfId="2" applyNumberFormat="1" applyFont="1" applyBorder="1" applyAlignment="1">
      <alignment horizontal="center" vertical="center"/>
    </xf>
    <xf numFmtId="0" fontId="33" fillId="16" borderId="34" xfId="2" applyFont="1" applyFill="1" applyBorder="1" applyAlignment="1">
      <alignment horizontal="center" vertical="center"/>
    </xf>
    <xf numFmtId="0" fontId="33" fillId="16" borderId="35" xfId="2" applyFont="1" applyFill="1" applyBorder="1" applyAlignment="1">
      <alignment horizontal="center" vertical="center"/>
    </xf>
    <xf numFmtId="167" fontId="33" fillId="16" borderId="35" xfId="2" applyNumberFormat="1" applyFont="1" applyFill="1" applyBorder="1" applyAlignment="1">
      <alignment horizontal="center" vertical="center"/>
    </xf>
    <xf numFmtId="2" fontId="33" fillId="16" borderId="35" xfId="2" applyNumberFormat="1" applyFont="1" applyFill="1" applyBorder="1" applyAlignment="1">
      <alignment horizontal="center" vertical="center"/>
    </xf>
    <xf numFmtId="166" fontId="33" fillId="16" borderId="35" xfId="2" applyNumberFormat="1" applyFont="1" applyFill="1" applyBorder="1" applyAlignment="1">
      <alignment horizontal="center" vertical="center"/>
    </xf>
    <xf numFmtId="0" fontId="36" fillId="0" borderId="0" xfId="2" applyFont="1" applyAlignment="1">
      <alignment vertical="top"/>
    </xf>
    <xf numFmtId="3" fontId="18" fillId="2" borderId="25" xfId="2" applyNumberFormat="1" applyFont="1" applyFill="1" applyBorder="1" applyAlignment="1">
      <alignment horizontal="center" vertical="center" wrapText="1"/>
    </xf>
    <xf numFmtId="0" fontId="32" fillId="20" borderId="25" xfId="2" applyFont="1" applyFill="1" applyBorder="1" applyAlignment="1">
      <alignment horizontal="right" vertical="center" wrapText="1"/>
    </xf>
    <xf numFmtId="0" fontId="32" fillId="20" borderId="25" xfId="2" applyFont="1" applyFill="1" applyBorder="1" applyAlignment="1">
      <alignment horizontal="center" vertical="center" wrapText="1"/>
    </xf>
    <xf numFmtId="0" fontId="32" fillId="20" borderId="29" xfId="2" applyFont="1" applyFill="1" applyBorder="1" applyAlignment="1">
      <alignment horizontal="right" vertical="center" wrapText="1"/>
    </xf>
    <xf numFmtId="0" fontId="37" fillId="7" borderId="0" xfId="2" applyFont="1" applyFill="1" applyAlignment="1">
      <alignment vertical="center"/>
    </xf>
    <xf numFmtId="0" fontId="38" fillId="19" borderId="85" xfId="2" applyFont="1" applyFill="1" applyBorder="1" applyAlignment="1">
      <alignment vertical="center"/>
    </xf>
    <xf numFmtId="0" fontId="18" fillId="2" borderId="1" xfId="2" applyFont="1" applyFill="1" applyBorder="1" applyAlignment="1">
      <alignment horizontal="center" vertical="center"/>
    </xf>
    <xf numFmtId="164" fontId="34" fillId="2" borderId="1" xfId="2" applyNumberFormat="1" applyFont="1" applyFill="1" applyBorder="1" applyAlignment="1">
      <alignment horizontal="center" vertical="center"/>
    </xf>
    <xf numFmtId="166" fontId="18" fillId="2" borderId="33" xfId="2" applyNumberFormat="1" applyFont="1" applyFill="1" applyBorder="1" applyAlignment="1">
      <alignment horizontal="center" vertical="center"/>
    </xf>
    <xf numFmtId="0" fontId="16" fillId="0" borderId="85" xfId="2" applyFont="1" applyBorder="1" applyAlignment="1">
      <alignment vertical="center" wrapText="1"/>
    </xf>
    <xf numFmtId="0" fontId="39" fillId="5" borderId="85" xfId="2" applyFont="1" applyFill="1" applyBorder="1" applyAlignment="1">
      <alignment vertical="center" wrapText="1"/>
    </xf>
    <xf numFmtId="0" fontId="33" fillId="20" borderId="25" xfId="2" applyFont="1" applyFill="1" applyBorder="1" applyAlignment="1">
      <alignment horizontal="right" vertical="center"/>
    </xf>
    <xf numFmtId="3" fontId="33" fillId="20" borderId="25" xfId="2" applyNumberFormat="1" applyFont="1" applyFill="1" applyBorder="1" applyAlignment="1">
      <alignment horizontal="center" vertical="center"/>
    </xf>
    <xf numFmtId="0" fontId="18" fillId="2" borderId="25" xfId="2" applyFont="1" applyFill="1" applyBorder="1" applyAlignment="1">
      <alignment horizontal="center" vertical="center"/>
    </xf>
    <xf numFmtId="0" fontId="33" fillId="20" borderId="25" xfId="2" applyFont="1" applyFill="1" applyBorder="1" applyAlignment="1">
      <alignment horizontal="center" vertical="center"/>
    </xf>
    <xf numFmtId="0" fontId="33" fillId="20" borderId="25" xfId="2" applyFont="1" applyFill="1" applyBorder="1" applyAlignment="1">
      <alignment horizontal="right" vertical="center" wrapText="1"/>
    </xf>
    <xf numFmtId="0" fontId="33" fillId="20" borderId="44" xfId="2" applyFont="1" applyFill="1" applyBorder="1" applyAlignment="1">
      <alignment horizontal="left" vertical="center"/>
    </xf>
    <xf numFmtId="0" fontId="16" fillId="8" borderId="0" xfId="2" applyFont="1" applyFill="1" applyAlignment="1">
      <alignment vertical="center"/>
    </xf>
    <xf numFmtId="3" fontId="18" fillId="2" borderId="25" xfId="2" applyNumberFormat="1" applyFont="1" applyFill="1" applyBorder="1" applyAlignment="1">
      <alignment horizontal="center" vertical="center"/>
    </xf>
    <xf numFmtId="3" fontId="18" fillId="2" borderId="29" xfId="2" applyNumberFormat="1" applyFont="1" applyFill="1" applyBorder="1" applyAlignment="1">
      <alignment horizontal="center" vertical="center"/>
    </xf>
    <xf numFmtId="0" fontId="31" fillId="20" borderId="0" xfId="2" applyFont="1" applyFill="1" applyAlignment="1">
      <alignment vertical="center" wrapText="1"/>
    </xf>
    <xf numFmtId="0" fontId="36" fillId="0" borderId="0" xfId="2" applyFont="1" applyAlignment="1">
      <alignment vertical="center"/>
    </xf>
    <xf numFmtId="0" fontId="13" fillId="20" borderId="0" xfId="2" applyFill="1" applyAlignment="1">
      <alignment vertical="center"/>
    </xf>
    <xf numFmtId="0" fontId="35" fillId="20" borderId="45" xfId="2" applyFont="1" applyFill="1" applyBorder="1" applyAlignment="1">
      <alignment vertical="center" wrapText="1"/>
    </xf>
    <xf numFmtId="0" fontId="13" fillId="20" borderId="46" xfId="2" applyFill="1" applyBorder="1" applyAlignment="1">
      <alignment vertical="center"/>
    </xf>
    <xf numFmtId="0" fontId="13" fillId="22" borderId="0" xfId="2" applyFill="1" applyAlignment="1">
      <alignment vertical="center"/>
    </xf>
    <xf numFmtId="0" fontId="31" fillId="8" borderId="0" xfId="2" applyFont="1" applyFill="1" applyAlignment="1">
      <alignment vertical="center" wrapText="1"/>
    </xf>
    <xf numFmtId="0" fontId="13" fillId="8" borderId="0" xfId="2" applyFill="1" applyAlignment="1">
      <alignment vertical="center"/>
    </xf>
    <xf numFmtId="0" fontId="40" fillId="8" borderId="0" xfId="4" applyFont="1" applyFill="1" applyAlignment="1" applyProtection="1">
      <alignment vertical="center"/>
      <protection locked="0"/>
    </xf>
    <xf numFmtId="0" fontId="3" fillId="0" borderId="0" xfId="2" applyFont="1" applyAlignment="1">
      <alignment vertical="center"/>
    </xf>
    <xf numFmtId="0" fontId="43" fillId="24" borderId="94" xfId="2" applyFont="1" applyFill="1" applyBorder="1" applyAlignment="1">
      <alignment horizontal="center" vertical="center" wrapText="1"/>
    </xf>
    <xf numFmtId="0" fontId="43" fillId="24" borderId="97" xfId="2" applyFont="1" applyFill="1" applyBorder="1" applyAlignment="1">
      <alignment horizontal="center" vertical="center" wrapText="1"/>
    </xf>
    <xf numFmtId="0" fontId="43" fillId="24" borderId="99" xfId="2" applyFont="1" applyFill="1" applyBorder="1" applyAlignment="1">
      <alignment horizontal="center" vertical="center" wrapText="1"/>
    </xf>
    <xf numFmtId="0" fontId="46" fillId="25" borderId="110" xfId="2" applyFont="1" applyFill="1" applyBorder="1" applyAlignment="1">
      <alignment vertical="center" wrapText="1"/>
    </xf>
    <xf numFmtId="0" fontId="47" fillId="26" borderId="111" xfId="2" applyFont="1" applyFill="1" applyBorder="1" applyAlignment="1">
      <alignment horizontal="center" vertical="center" wrapText="1"/>
    </xf>
    <xf numFmtId="0" fontId="48" fillId="0" borderId="110" xfId="2" applyFont="1" applyBorder="1" applyAlignment="1">
      <alignment horizontal="center" wrapText="1"/>
    </xf>
    <xf numFmtId="0" fontId="48" fillId="0" borderId="110" xfId="2" applyFont="1" applyBorder="1" applyAlignment="1">
      <alignment wrapText="1"/>
    </xf>
    <xf numFmtId="0" fontId="49" fillId="0" borderId="112" xfId="2" applyFont="1" applyBorder="1" applyAlignment="1">
      <alignment horizontal="center" vertical="center" wrapText="1"/>
    </xf>
    <xf numFmtId="0" fontId="46" fillId="25" borderId="112" xfId="2" applyFont="1" applyFill="1" applyBorder="1" applyAlignment="1">
      <alignment vertical="center" wrapText="1"/>
    </xf>
    <xf numFmtId="0" fontId="47" fillId="26" borderId="113" xfId="2" applyFont="1" applyFill="1" applyBorder="1" applyAlignment="1">
      <alignment horizontal="center" vertical="center" wrapText="1"/>
    </xf>
    <xf numFmtId="0" fontId="48" fillId="0" borderId="112" xfId="2" applyFont="1" applyBorder="1" applyAlignment="1">
      <alignment horizontal="center" vertical="center" wrapText="1"/>
    </xf>
    <xf numFmtId="0" fontId="48" fillId="0" borderId="112" xfId="2" applyFont="1" applyBorder="1" applyAlignment="1">
      <alignment vertical="center" wrapText="1"/>
    </xf>
    <xf numFmtId="0" fontId="50" fillId="27" borderId="114" xfId="2" applyFont="1" applyFill="1" applyBorder="1" applyAlignment="1">
      <alignment horizontal="center" vertical="center" wrapText="1"/>
    </xf>
    <xf numFmtId="0" fontId="50" fillId="27" borderId="115" xfId="2" applyFont="1" applyFill="1" applyBorder="1" applyAlignment="1">
      <alignment horizontal="center" vertical="center" wrapText="1"/>
    </xf>
    <xf numFmtId="0" fontId="50" fillId="27" borderId="116" xfId="2" applyFont="1" applyFill="1" applyBorder="1" applyAlignment="1">
      <alignment horizontal="center" vertical="center" wrapText="1"/>
    </xf>
    <xf numFmtId="0" fontId="51" fillId="0" borderId="0" xfId="2" applyFont="1" applyAlignment="1">
      <alignment vertical="center" wrapText="1"/>
    </xf>
    <xf numFmtId="0" fontId="48" fillId="25" borderId="117" xfId="2" applyFont="1" applyFill="1" applyBorder="1" applyAlignment="1">
      <alignment vertical="center" wrapText="1"/>
    </xf>
    <xf numFmtId="0" fontId="48" fillId="25" borderId="118" xfId="2" applyFont="1" applyFill="1" applyBorder="1" applyAlignment="1">
      <alignment vertical="center" wrapText="1"/>
    </xf>
    <xf numFmtId="0" fontId="48" fillId="25" borderId="119" xfId="2" applyFont="1" applyFill="1" applyBorder="1" applyAlignment="1">
      <alignment horizontal="right" vertical="center" wrapText="1"/>
    </xf>
    <xf numFmtId="0" fontId="52" fillId="25" borderId="119" xfId="2" applyFont="1" applyFill="1" applyBorder="1" applyAlignment="1">
      <alignment horizontal="right" vertical="center" wrapText="1"/>
    </xf>
    <xf numFmtId="0" fontId="48" fillId="25" borderId="120" xfId="2" applyFont="1" applyFill="1" applyBorder="1" applyAlignment="1">
      <alignment vertical="center" wrapText="1"/>
    </xf>
    <xf numFmtId="0" fontId="48" fillId="25" borderId="0" xfId="2" applyFont="1" applyFill="1" applyAlignment="1">
      <alignment vertical="center" wrapText="1"/>
    </xf>
    <xf numFmtId="0" fontId="48" fillId="25" borderId="121" xfId="2" applyFont="1" applyFill="1" applyBorder="1" applyAlignment="1">
      <alignment horizontal="right" vertical="center" wrapText="1"/>
    </xf>
    <xf numFmtId="0" fontId="52" fillId="25" borderId="121" xfId="2" applyFont="1" applyFill="1" applyBorder="1" applyAlignment="1">
      <alignment horizontal="right" vertical="center" wrapText="1"/>
    </xf>
    <xf numFmtId="0" fontId="48" fillId="25" borderId="122" xfId="2" applyFont="1" applyFill="1" applyBorder="1" applyAlignment="1">
      <alignment vertical="center" wrapText="1"/>
    </xf>
    <xf numFmtId="0" fontId="48" fillId="25" borderId="123" xfId="2" applyFont="1" applyFill="1" applyBorder="1" applyAlignment="1">
      <alignment vertical="center" wrapText="1"/>
    </xf>
    <xf numFmtId="0" fontId="48" fillId="25" borderId="124" xfId="2" applyFont="1" applyFill="1" applyBorder="1" applyAlignment="1">
      <alignment horizontal="right" vertical="center" wrapText="1"/>
    </xf>
    <xf numFmtId="0" fontId="52" fillId="25" borderId="124" xfId="2" applyFont="1" applyFill="1" applyBorder="1" applyAlignment="1">
      <alignment horizontal="right" vertical="center" wrapText="1"/>
    </xf>
    <xf numFmtId="0" fontId="53" fillId="25" borderId="124" xfId="2" applyFont="1" applyFill="1" applyBorder="1" applyAlignment="1">
      <alignment horizontal="right" vertical="center" wrapText="1"/>
    </xf>
    <xf numFmtId="0" fontId="54" fillId="25" borderId="123" xfId="2" applyFont="1" applyFill="1" applyBorder="1" applyAlignment="1">
      <alignment vertical="center"/>
    </xf>
    <xf numFmtId="0" fontId="55" fillId="25" borderId="123" xfId="2" applyFont="1" applyFill="1" applyBorder="1" applyAlignment="1">
      <alignment vertical="center" wrapText="1"/>
    </xf>
    <xf numFmtId="0" fontId="55" fillId="25" borderId="122" xfId="2" applyFont="1" applyFill="1" applyBorder="1" applyAlignment="1">
      <alignment vertical="center" wrapText="1"/>
    </xf>
    <xf numFmtId="0" fontId="53" fillId="25" borderId="119" xfId="2" applyFont="1" applyFill="1" applyBorder="1" applyAlignment="1">
      <alignment horizontal="right" vertical="center" wrapText="1"/>
    </xf>
    <xf numFmtId="0" fontId="54" fillId="25" borderId="118" xfId="2" applyFont="1" applyFill="1" applyBorder="1" applyAlignment="1">
      <alignment vertical="center"/>
    </xf>
    <xf numFmtId="0" fontId="55" fillId="25" borderId="118" xfId="2" applyFont="1" applyFill="1" applyBorder="1" applyAlignment="1">
      <alignment vertical="center" wrapText="1"/>
    </xf>
    <xf numFmtId="0" fontId="55" fillId="25" borderId="117" xfId="2" applyFont="1" applyFill="1" applyBorder="1" applyAlignment="1">
      <alignment vertical="center" wrapText="1"/>
    </xf>
    <xf numFmtId="0" fontId="48" fillId="0" borderId="0" xfId="2" applyFont="1" applyAlignment="1">
      <alignment vertical="center" wrapText="1"/>
    </xf>
    <xf numFmtId="0" fontId="52" fillId="0" borderId="112" xfId="2" applyFont="1" applyBorder="1" applyAlignment="1">
      <alignment horizontal="right" vertical="center" wrapText="1"/>
    </xf>
    <xf numFmtId="0" fontId="48" fillId="25" borderId="131" xfId="2" applyFont="1" applyFill="1" applyBorder="1" applyAlignment="1">
      <alignment vertical="center" wrapText="1"/>
    </xf>
    <xf numFmtId="0" fontId="58" fillId="10" borderId="131" xfId="2" applyFont="1" applyFill="1" applyBorder="1" applyAlignment="1">
      <alignment vertical="center" wrapText="1"/>
    </xf>
    <xf numFmtId="0" fontId="59" fillId="30" borderId="131" xfId="2" applyFont="1" applyFill="1" applyBorder="1" applyAlignment="1">
      <alignment horizontal="center" vertical="center"/>
    </xf>
    <xf numFmtId="9" fontId="59" fillId="30" borderId="131" xfId="2" applyNumberFormat="1" applyFont="1" applyFill="1" applyBorder="1" applyAlignment="1">
      <alignment horizontal="center" vertical="center"/>
    </xf>
    <xf numFmtId="0" fontId="48" fillId="25" borderId="131" xfId="2" applyFont="1" applyFill="1" applyBorder="1" applyAlignment="1">
      <alignment vertical="center"/>
    </xf>
    <xf numFmtId="0" fontId="52" fillId="0" borderId="0" xfId="2" applyFont="1" applyAlignment="1">
      <alignment horizontal="center" wrapText="1"/>
    </xf>
    <xf numFmtId="0" fontId="48" fillId="0" borderId="132" xfId="2" applyFont="1" applyBorder="1" applyAlignment="1">
      <alignment horizontal="center" vertical="center" wrapText="1"/>
    </xf>
    <xf numFmtId="171" fontId="48" fillId="0" borderId="132" xfId="2" applyNumberFormat="1" applyFont="1" applyBorder="1" applyAlignment="1">
      <alignment horizontal="center" vertical="center" wrapText="1"/>
    </xf>
    <xf numFmtId="0" fontId="52" fillId="0" borderId="132" xfId="2" applyFont="1" applyBorder="1" applyAlignment="1">
      <alignment vertical="center" wrapText="1"/>
    </xf>
    <xf numFmtId="0" fontId="48" fillId="31" borderId="132" xfId="2" applyFont="1" applyFill="1" applyBorder="1" applyAlignment="1">
      <alignment horizontal="center" vertical="center" wrapText="1"/>
    </xf>
    <xf numFmtId="0" fontId="48" fillId="26" borderId="132" xfId="2" applyFont="1" applyFill="1" applyBorder="1" applyAlignment="1">
      <alignment horizontal="center" vertical="center" wrapText="1"/>
    </xf>
    <xf numFmtId="0" fontId="45" fillId="10" borderId="132" xfId="2" applyFont="1" applyFill="1" applyBorder="1" applyAlignment="1">
      <alignment vertical="center" wrapText="1"/>
    </xf>
    <xf numFmtId="0" fontId="58" fillId="25" borderId="132" xfId="2" applyFont="1" applyFill="1" applyBorder="1" applyAlignment="1">
      <alignment vertical="center" wrapText="1"/>
    </xf>
    <xf numFmtId="0" fontId="60" fillId="25" borderId="132" xfId="2" applyFont="1" applyFill="1" applyBorder="1" applyAlignment="1">
      <alignment vertical="center" wrapText="1"/>
    </xf>
    <xf numFmtId="0" fontId="48" fillId="0" borderId="132" xfId="2" applyFont="1" applyBorder="1" applyAlignment="1">
      <alignment vertical="center" wrapText="1"/>
    </xf>
    <xf numFmtId="0" fontId="57" fillId="28" borderId="128" xfId="2" applyFont="1" applyFill="1" applyBorder="1" applyAlignment="1">
      <alignment vertical="center" wrapText="1"/>
    </xf>
    <xf numFmtId="0" fontId="57" fillId="28" borderId="129" xfId="2" applyFont="1" applyFill="1" applyBorder="1" applyAlignment="1">
      <alignment vertical="center"/>
    </xf>
    <xf numFmtId="0" fontId="57" fillId="28" borderId="129" xfId="2" applyFont="1" applyFill="1" applyBorder="1" applyAlignment="1">
      <alignment vertical="center" wrapText="1"/>
    </xf>
    <xf numFmtId="0" fontId="57" fillId="28" borderId="130" xfId="2" applyFont="1" applyFill="1" applyBorder="1" applyAlignment="1">
      <alignment vertical="center" wrapText="1"/>
    </xf>
    <xf numFmtId="0" fontId="50" fillId="29" borderId="0" xfId="2" applyFont="1" applyFill="1" applyAlignment="1">
      <alignment horizontal="center" vertical="center" wrapText="1"/>
    </xf>
    <xf numFmtId="0" fontId="27" fillId="0" borderId="0" xfId="2" applyFont="1" applyAlignment="1">
      <alignment vertical="center"/>
    </xf>
    <xf numFmtId="0" fontId="50" fillId="34" borderId="0" xfId="2" applyFont="1" applyFill="1" applyAlignment="1">
      <alignment horizontal="center" vertical="center" wrapText="1"/>
    </xf>
    <xf numFmtId="0" fontId="56" fillId="34" borderId="0" xfId="2" applyFont="1" applyFill="1" applyAlignment="1">
      <alignment horizontal="center" vertical="center" wrapText="1"/>
    </xf>
    <xf numFmtId="0" fontId="64" fillId="13" borderId="133" xfId="2" applyFont="1" applyFill="1" applyBorder="1" applyAlignment="1">
      <alignment horizontal="center" vertical="center" wrapText="1"/>
    </xf>
    <xf numFmtId="0" fontId="64" fillId="13" borderId="134" xfId="2" applyFont="1" applyFill="1" applyBorder="1" applyAlignment="1">
      <alignment vertical="center" wrapText="1"/>
    </xf>
    <xf numFmtId="171" fontId="65" fillId="13" borderId="135" xfId="2" applyNumberFormat="1" applyFont="1" applyFill="1" applyBorder="1" applyAlignment="1">
      <alignment horizontal="center" vertical="center" wrapText="1"/>
    </xf>
    <xf numFmtId="0" fontId="64" fillId="13" borderId="136" xfId="2" applyFont="1" applyFill="1" applyBorder="1" applyAlignment="1">
      <alignment vertical="center" wrapText="1"/>
    </xf>
    <xf numFmtId="0" fontId="65" fillId="13" borderId="135" xfId="2" applyFont="1" applyFill="1" applyBorder="1" applyAlignment="1">
      <alignment horizontal="center" vertical="center" wrapText="1"/>
    </xf>
    <xf numFmtId="0" fontId="64" fillId="13" borderId="137" xfId="2" applyFont="1" applyFill="1" applyBorder="1" applyAlignment="1">
      <alignment horizontal="center" vertical="center" wrapText="1"/>
    </xf>
    <xf numFmtId="0" fontId="64" fillId="13" borderId="138" xfId="2" applyFont="1" applyFill="1" applyBorder="1" applyAlignment="1">
      <alignment vertical="center" wrapText="1"/>
    </xf>
    <xf numFmtId="0" fontId="64" fillId="13" borderId="138" xfId="2" applyFont="1" applyFill="1" applyBorder="1" applyAlignment="1">
      <alignment horizontal="center" wrapText="1"/>
    </xf>
    <xf numFmtId="0" fontId="64" fillId="13" borderId="0" xfId="2" applyFont="1" applyFill="1" applyAlignment="1">
      <alignment horizontal="center" wrapText="1"/>
    </xf>
    <xf numFmtId="0" fontId="64" fillId="13" borderId="139" xfId="2" applyFont="1" applyFill="1" applyBorder="1" applyAlignment="1">
      <alignment vertical="center" wrapText="1"/>
    </xf>
    <xf numFmtId="0" fontId="58" fillId="13" borderId="140" xfId="2" applyFont="1" applyFill="1" applyBorder="1" applyAlignment="1">
      <alignment horizontal="right" vertical="center" wrapText="1"/>
    </xf>
    <xf numFmtId="0" fontId="64" fillId="13" borderId="143" xfId="2" applyFont="1" applyFill="1" applyBorder="1" applyAlignment="1">
      <alignment horizontal="center" vertical="center" wrapText="1"/>
    </xf>
    <xf numFmtId="0" fontId="64" fillId="13" borderId="144" xfId="2" applyFont="1" applyFill="1" applyBorder="1" applyAlignment="1">
      <alignment vertical="center" wrapText="1"/>
    </xf>
    <xf numFmtId="0" fontId="45" fillId="13" borderId="145" xfId="2" applyFont="1" applyFill="1" applyBorder="1" applyAlignment="1">
      <alignment horizontal="center" vertical="center" wrapText="1"/>
    </xf>
    <xf numFmtId="0" fontId="64" fillId="13" borderId="146" xfId="2" applyFont="1" applyFill="1" applyBorder="1" applyAlignment="1">
      <alignment vertical="center" wrapText="1"/>
    </xf>
    <xf numFmtId="0" fontId="45" fillId="13" borderId="147" xfId="2" applyFont="1" applyFill="1" applyBorder="1" applyAlignment="1">
      <alignment horizontal="center" vertical="center" wrapText="1"/>
    </xf>
    <xf numFmtId="0" fontId="45" fillId="13" borderId="135" xfId="2" applyFont="1" applyFill="1" applyBorder="1" applyAlignment="1">
      <alignment horizontal="center" vertical="center" wrapText="1"/>
    </xf>
    <xf numFmtId="0" fontId="64" fillId="13" borderId="138" xfId="2" applyFont="1" applyFill="1" applyBorder="1" applyAlignment="1">
      <alignment wrapText="1"/>
    </xf>
    <xf numFmtId="0" fontId="64" fillId="13" borderId="156" xfId="2" applyFont="1" applyFill="1" applyBorder="1" applyAlignment="1">
      <alignment vertical="center" wrapText="1"/>
    </xf>
    <xf numFmtId="0" fontId="72" fillId="37" borderId="157" xfId="2" applyFont="1" applyFill="1" applyBorder="1" applyAlignment="1">
      <alignment horizontal="center" vertical="center" wrapText="1"/>
    </xf>
    <xf numFmtId="0" fontId="70" fillId="13" borderId="157" xfId="2" applyFont="1" applyFill="1" applyBorder="1" applyAlignment="1">
      <alignment vertical="center" wrapText="1"/>
    </xf>
    <xf numFmtId="0" fontId="70" fillId="13" borderId="157" xfId="2" applyFont="1" applyFill="1" applyBorder="1" applyAlignment="1">
      <alignment horizontal="center" vertical="center"/>
    </xf>
    <xf numFmtId="0" fontId="64" fillId="13" borderId="157" xfId="2" applyFont="1" applyFill="1" applyBorder="1" applyAlignment="1">
      <alignment horizontal="center" vertical="center"/>
    </xf>
    <xf numFmtId="166" fontId="64" fillId="13" borderId="157" xfId="2" applyNumberFormat="1" applyFont="1" applyFill="1" applyBorder="1" applyAlignment="1">
      <alignment horizontal="center" vertical="center"/>
    </xf>
    <xf numFmtId="9" fontId="64" fillId="13" borderId="158" xfId="2" applyNumberFormat="1" applyFont="1" applyFill="1" applyBorder="1" applyAlignment="1">
      <alignment horizontal="center" vertical="center"/>
    </xf>
    <xf numFmtId="0" fontId="64" fillId="13" borderId="159" xfId="2" applyFont="1" applyFill="1" applyBorder="1" applyAlignment="1">
      <alignment horizontal="center" vertical="center"/>
    </xf>
    <xf numFmtId="0" fontId="64" fillId="13" borderId="160" xfId="2" applyFont="1" applyFill="1" applyBorder="1" applyAlignment="1">
      <alignment horizontal="center" vertical="center"/>
    </xf>
    <xf numFmtId="0" fontId="70" fillId="13" borderId="161" xfId="2" applyFont="1" applyFill="1" applyBorder="1" applyAlignment="1">
      <alignment horizontal="center" vertical="center"/>
    </xf>
    <xf numFmtId="0" fontId="64" fillId="13" borderId="162" xfId="2" applyFont="1" applyFill="1" applyBorder="1" applyAlignment="1">
      <alignment horizontal="right" vertical="center" wrapText="1"/>
    </xf>
    <xf numFmtId="166" fontId="72" fillId="37" borderId="157" xfId="2" applyNumberFormat="1" applyFont="1" applyFill="1" applyBorder="1" applyAlignment="1">
      <alignment horizontal="center" vertical="center" wrapText="1"/>
    </xf>
    <xf numFmtId="9" fontId="72" fillId="37" borderId="157" xfId="2" applyNumberFormat="1" applyFont="1" applyFill="1" applyBorder="1" applyAlignment="1">
      <alignment horizontal="center" vertical="center" wrapText="1"/>
    </xf>
    <xf numFmtId="0" fontId="74" fillId="38" borderId="157" xfId="2" applyFont="1" applyFill="1" applyBorder="1" applyAlignment="1">
      <alignment horizontal="center" vertical="center" wrapText="1"/>
    </xf>
    <xf numFmtId="9" fontId="68" fillId="35" borderId="157" xfId="2" applyNumberFormat="1" applyFont="1" applyFill="1" applyBorder="1" applyAlignment="1">
      <alignment horizontal="center" vertical="center" wrapText="1"/>
    </xf>
    <xf numFmtId="0" fontId="68" fillId="35" borderId="157" xfId="2" applyFont="1" applyFill="1" applyBorder="1" applyAlignment="1">
      <alignment horizontal="center" vertical="center" wrapText="1"/>
    </xf>
    <xf numFmtId="0" fontId="64" fillId="13" borderId="165" xfId="2" applyFont="1" applyFill="1" applyBorder="1" applyAlignment="1">
      <alignment horizontal="center" vertical="center" wrapText="1"/>
    </xf>
    <xf numFmtId="172" fontId="75" fillId="39" borderId="165" xfId="2" applyNumberFormat="1" applyFont="1" applyFill="1" applyBorder="1" applyAlignment="1">
      <alignment horizontal="center" vertical="center" wrapText="1"/>
    </xf>
    <xf numFmtId="0" fontId="76" fillId="13" borderId="165" xfId="2" applyFont="1" applyFill="1" applyBorder="1" applyAlignment="1">
      <alignment horizontal="center" vertical="center" wrapText="1"/>
    </xf>
    <xf numFmtId="0" fontId="66" fillId="13" borderId="165" xfId="2" applyFont="1" applyFill="1" applyBorder="1" applyAlignment="1">
      <alignment horizontal="center" vertical="center" wrapText="1"/>
    </xf>
    <xf numFmtId="0" fontId="77" fillId="13" borderId="165" xfId="2" applyFont="1" applyFill="1" applyBorder="1" applyAlignment="1">
      <alignment horizontal="center" vertical="center" wrapText="1"/>
    </xf>
    <xf numFmtId="0" fontId="76" fillId="13" borderId="165" xfId="2" applyFont="1" applyFill="1" applyBorder="1" applyAlignment="1">
      <alignment vertical="center" wrapText="1"/>
    </xf>
    <xf numFmtId="0" fontId="66" fillId="10" borderId="165" xfId="2" applyFont="1" applyFill="1" applyBorder="1" applyAlignment="1">
      <alignment horizontal="center" vertical="center" wrapText="1"/>
    </xf>
    <xf numFmtId="0" fontId="78" fillId="10" borderId="165" xfId="2" applyFont="1" applyFill="1" applyBorder="1" applyAlignment="1">
      <alignment vertical="center" wrapText="1"/>
    </xf>
    <xf numFmtId="0" fontId="79" fillId="39" borderId="165" xfId="2" applyFont="1" applyFill="1" applyBorder="1" applyAlignment="1">
      <alignment vertical="center" wrapText="1"/>
    </xf>
    <xf numFmtId="0" fontId="80" fillId="39" borderId="165" xfId="2" applyFont="1" applyFill="1" applyBorder="1" applyAlignment="1">
      <alignment vertical="center" wrapText="1"/>
    </xf>
    <xf numFmtId="0" fontId="76" fillId="13" borderId="166" xfId="2" applyFont="1" applyFill="1" applyBorder="1" applyAlignment="1">
      <alignment horizontal="center" vertical="center" wrapText="1"/>
    </xf>
    <xf numFmtId="0" fontId="3" fillId="0" borderId="0" xfId="2" applyFont="1" applyAlignment="1">
      <alignment horizontal="center" vertical="center"/>
    </xf>
    <xf numFmtId="0" fontId="66" fillId="0" borderId="0" xfId="2" applyFont="1" applyAlignment="1">
      <alignment horizontal="center" vertical="center"/>
    </xf>
    <xf numFmtId="0" fontId="78" fillId="0" borderId="0" xfId="2" applyFont="1" applyAlignment="1">
      <alignment vertical="center"/>
    </xf>
    <xf numFmtId="0" fontId="79" fillId="0" borderId="0" xfId="2" applyFont="1" applyAlignment="1">
      <alignment vertical="center" wrapText="1"/>
    </xf>
    <xf numFmtId="0" fontId="80" fillId="0" borderId="0" xfId="2" applyFont="1" applyAlignment="1">
      <alignment vertical="center" wrapText="1"/>
    </xf>
    <xf numFmtId="0" fontId="0" fillId="9" borderId="171" xfId="0" applyFill="1" applyBorder="1" applyAlignment="1">
      <alignment horizontal="left" vertical="center" wrapText="1"/>
    </xf>
    <xf numFmtId="0" fontId="83" fillId="44" borderId="0" xfId="2" applyFont="1" applyFill="1" applyAlignment="1">
      <alignment horizontal="center" vertical="center"/>
    </xf>
    <xf numFmtId="0" fontId="91" fillId="45" borderId="182" xfId="6" applyFont="1" applyFill="1" applyBorder="1" applyAlignment="1">
      <alignment horizontal="center" vertical="center"/>
    </xf>
    <xf numFmtId="0" fontId="92" fillId="15" borderId="0" xfId="1" quotePrefix="1" applyFont="1" applyFill="1" applyAlignment="1">
      <alignment horizontal="center" vertical="center"/>
    </xf>
    <xf numFmtId="0" fontId="13" fillId="20" borderId="0" xfId="2" applyFill="1" applyAlignment="1">
      <alignment horizontal="center" vertical="center"/>
    </xf>
    <xf numFmtId="0" fontId="30" fillId="8" borderId="0" xfId="2" applyFont="1" applyFill="1" applyAlignment="1">
      <alignment vertical="center"/>
    </xf>
    <xf numFmtId="0" fontId="14" fillId="8" borderId="0" xfId="0" applyFont="1" applyFill="1" applyAlignment="1">
      <alignment vertical="center"/>
    </xf>
    <xf numFmtId="0" fontId="61" fillId="46" borderId="0" xfId="2" applyFont="1" applyFill="1" applyAlignment="1">
      <alignment vertical="center"/>
    </xf>
    <xf numFmtId="0" fontId="50" fillId="48" borderId="0" xfId="2" applyFont="1" applyFill="1" applyAlignment="1">
      <alignment horizontal="center" vertical="center" wrapText="1"/>
    </xf>
    <xf numFmtId="0" fontId="71" fillId="48" borderId="0" xfId="2" applyFont="1" applyFill="1" applyAlignment="1">
      <alignment horizontal="center" vertical="center" wrapText="1"/>
    </xf>
    <xf numFmtId="0" fontId="94" fillId="0" borderId="0" xfId="2" applyFont="1" applyAlignment="1">
      <alignment vertical="center"/>
    </xf>
    <xf numFmtId="0" fontId="95" fillId="49" borderId="0" xfId="0" applyFont="1" applyFill="1" applyAlignment="1">
      <alignment vertical="center"/>
    </xf>
    <xf numFmtId="0" fontId="14" fillId="50" borderId="0" xfId="0" applyFont="1" applyFill="1" applyAlignment="1">
      <alignment horizontal="right" vertical="center"/>
    </xf>
    <xf numFmtId="0" fontId="14" fillId="8" borderId="0" xfId="0" applyFont="1" applyFill="1" applyAlignment="1">
      <alignment horizontal="right" vertical="center"/>
    </xf>
    <xf numFmtId="0" fontId="97" fillId="49" borderId="0" xfId="0" applyFont="1" applyFill="1" applyAlignment="1">
      <alignment horizontal="center" vertical="center"/>
    </xf>
    <xf numFmtId="0" fontId="15" fillId="8" borderId="0" xfId="0" applyFont="1" applyFill="1" applyAlignment="1">
      <alignment horizontal="right" vertical="center"/>
    </xf>
    <xf numFmtId="0" fontId="15" fillId="0" borderId="0" xfId="0" applyFont="1" applyAlignment="1">
      <alignment horizontal="right" vertical="center"/>
    </xf>
    <xf numFmtId="0" fontId="15" fillId="8" borderId="0" xfId="0" applyFont="1" applyFill="1" applyAlignment="1">
      <alignment horizontal="right" vertical="center" wrapText="1"/>
    </xf>
    <xf numFmtId="0" fontId="96" fillId="49" borderId="0" xfId="0" applyFont="1" applyFill="1" applyAlignment="1">
      <alignment horizontal="right" vertical="center"/>
    </xf>
    <xf numFmtId="0" fontId="96" fillId="51" borderId="0" xfId="0" applyFont="1" applyFill="1" applyAlignment="1">
      <alignment horizontal="center" vertical="center"/>
    </xf>
    <xf numFmtId="0" fontId="17" fillId="15" borderId="0" xfId="0" applyFont="1" applyFill="1" applyAlignment="1">
      <alignment vertical="center"/>
    </xf>
    <xf numFmtId="0" fontId="15" fillId="15" borderId="0" xfId="0" applyFont="1" applyFill="1" applyAlignment="1">
      <alignment horizontal="center" vertical="center"/>
    </xf>
    <xf numFmtId="0" fontId="15" fillId="15" borderId="0" xfId="0" applyFont="1" applyFill="1" applyAlignment="1">
      <alignment vertical="center"/>
    </xf>
    <xf numFmtId="0" fontId="14" fillId="15" borderId="0" xfId="0" applyFont="1" applyFill="1" applyAlignment="1">
      <alignment horizontal="center" vertical="center"/>
    </xf>
    <xf numFmtId="0" fontId="15" fillId="15" borderId="0" xfId="0" applyFont="1" applyFill="1" applyAlignment="1">
      <alignment horizontal="right" vertical="center" wrapText="1"/>
    </xf>
    <xf numFmtId="0" fontId="15" fillId="15" borderId="0" xfId="0" applyFont="1" applyFill="1" applyAlignment="1">
      <alignment horizontal="right" vertical="center"/>
    </xf>
    <xf numFmtId="0" fontId="96" fillId="49" borderId="1" xfId="0" applyFont="1" applyFill="1" applyBorder="1" applyAlignment="1">
      <alignment horizontal="right" vertical="center" wrapText="1"/>
    </xf>
    <xf numFmtId="0" fontId="96" fillId="49" borderId="1" xfId="0" applyFont="1" applyFill="1" applyBorder="1" applyAlignment="1">
      <alignment horizontal="center" vertical="center"/>
    </xf>
    <xf numFmtId="0" fontId="99" fillId="7" borderId="1" xfId="0" applyFont="1" applyFill="1" applyBorder="1" applyAlignment="1">
      <alignment vertical="center"/>
    </xf>
    <xf numFmtId="0" fontId="101" fillId="51" borderId="1" xfId="0" applyFont="1" applyFill="1" applyBorder="1" applyAlignment="1">
      <alignment horizontal="center" vertical="center"/>
    </xf>
    <xf numFmtId="0" fontId="96" fillId="51" borderId="1" xfId="0" applyFont="1" applyFill="1" applyBorder="1" applyAlignment="1">
      <alignment horizontal="center" vertical="center" wrapText="1"/>
    </xf>
    <xf numFmtId="0" fontId="96" fillId="51" borderId="18" xfId="0" applyFont="1" applyFill="1" applyBorder="1" applyAlignment="1">
      <alignment horizontal="center" vertical="center" wrapText="1"/>
    </xf>
    <xf numFmtId="0" fontId="96" fillId="51" borderId="20" xfId="0" applyFont="1" applyFill="1" applyBorder="1" applyAlignment="1">
      <alignment horizontal="center" vertical="center" wrapText="1"/>
    </xf>
    <xf numFmtId="0" fontId="96" fillId="51" borderId="20" xfId="0" applyFont="1" applyFill="1" applyBorder="1" applyAlignment="1">
      <alignment horizontal="center" vertical="center"/>
    </xf>
    <xf numFmtId="0" fontId="96" fillId="51" borderId="20" xfId="0" applyFont="1" applyFill="1" applyBorder="1" applyAlignment="1">
      <alignment horizontal="left" vertical="center"/>
    </xf>
    <xf numFmtId="0" fontId="96" fillId="51" borderId="19" xfId="0" applyFont="1" applyFill="1" applyBorder="1" applyAlignment="1">
      <alignment horizontal="left" vertical="center"/>
    </xf>
    <xf numFmtId="0" fontId="22" fillId="0" borderId="1" xfId="0" applyFont="1" applyBorder="1" applyAlignment="1">
      <alignment vertical="center" wrapText="1"/>
    </xf>
    <xf numFmtId="0" fontId="50" fillId="52" borderId="115" xfId="2" applyFont="1" applyFill="1" applyBorder="1" applyAlignment="1">
      <alignment horizontal="center" vertical="center" wrapText="1"/>
    </xf>
    <xf numFmtId="0" fontId="104" fillId="52" borderId="129" xfId="2" applyFont="1" applyFill="1" applyBorder="1" applyAlignment="1">
      <alignment vertical="center"/>
    </xf>
    <xf numFmtId="0" fontId="104" fillId="52" borderId="129" xfId="2" applyFont="1" applyFill="1" applyBorder="1" applyAlignment="1">
      <alignment vertical="center" wrapText="1"/>
    </xf>
    <xf numFmtId="0" fontId="104" fillId="52" borderId="130" xfId="2" applyFont="1" applyFill="1" applyBorder="1" applyAlignment="1">
      <alignment vertical="center" wrapText="1"/>
    </xf>
    <xf numFmtId="0" fontId="56" fillId="53" borderId="0" xfId="2" applyFont="1" applyFill="1" applyAlignment="1">
      <alignment horizontal="center" vertical="center" wrapText="1"/>
    </xf>
    <xf numFmtId="0" fontId="50" fillId="53" borderId="0" xfId="2" applyFont="1" applyFill="1" applyAlignment="1">
      <alignment horizontal="center" vertical="center" wrapText="1"/>
    </xf>
    <xf numFmtId="166" fontId="83" fillId="47" borderId="131" xfId="2" applyNumberFormat="1" applyFont="1" applyFill="1" applyBorder="1" applyAlignment="1">
      <alignment horizontal="center" vertical="center" wrapText="1"/>
    </xf>
    <xf numFmtId="9" fontId="83" fillId="47" borderId="131" xfId="2" applyNumberFormat="1" applyFont="1" applyFill="1" applyBorder="1" applyAlignment="1">
      <alignment horizontal="center" vertical="center" wrapText="1"/>
    </xf>
    <xf numFmtId="0" fontId="83" fillId="47" borderId="131" xfId="2" applyFont="1" applyFill="1" applyBorder="1" applyAlignment="1">
      <alignment horizontal="center" vertical="center" wrapText="1"/>
    </xf>
    <xf numFmtId="0" fontId="57" fillId="47" borderId="131" xfId="2" applyFont="1" applyFill="1" applyBorder="1" applyAlignment="1">
      <alignment horizontal="center" vertical="center" wrapText="1"/>
    </xf>
    <xf numFmtId="166" fontId="57" fillId="47" borderId="131" xfId="2" applyNumberFormat="1" applyFont="1" applyFill="1" applyBorder="1" applyAlignment="1">
      <alignment horizontal="center" vertical="center" wrapText="1"/>
    </xf>
    <xf numFmtId="9" fontId="57" fillId="47" borderId="131" xfId="2" applyNumberFormat="1" applyFont="1" applyFill="1" applyBorder="1" applyAlignment="1">
      <alignment horizontal="center" vertical="center" wrapText="1"/>
    </xf>
    <xf numFmtId="0" fontId="57" fillId="8" borderId="0" xfId="2" applyFont="1" applyFill="1" applyAlignment="1">
      <alignment horizontal="center" vertical="center" wrapText="1"/>
    </xf>
    <xf numFmtId="0" fontId="97" fillId="52" borderId="23" xfId="2" applyFont="1" applyFill="1" applyBorder="1" applyAlignment="1">
      <alignment vertical="center"/>
    </xf>
    <xf numFmtId="0" fontId="97" fillId="52" borderId="23" xfId="2" applyFont="1" applyFill="1" applyBorder="1" applyAlignment="1">
      <alignment vertical="center" wrapText="1"/>
    </xf>
    <xf numFmtId="3" fontId="97" fillId="52" borderId="23" xfId="2" applyNumberFormat="1" applyFont="1" applyFill="1" applyBorder="1" applyAlignment="1">
      <alignment vertical="center"/>
    </xf>
    <xf numFmtId="0" fontId="97" fillId="52" borderId="24" xfId="2" applyFont="1" applyFill="1" applyBorder="1" applyAlignment="1">
      <alignment vertical="center" wrapText="1"/>
    </xf>
    <xf numFmtId="0" fontId="96" fillId="53" borderId="1" xfId="2" applyFont="1" applyFill="1" applyBorder="1" applyAlignment="1">
      <alignment horizontal="center" vertical="center" wrapText="1"/>
    </xf>
    <xf numFmtId="0" fontId="96" fillId="52" borderId="0" xfId="0" applyFont="1" applyFill="1" applyAlignment="1">
      <alignment horizontal="center" vertical="center"/>
    </xf>
    <xf numFmtId="0" fontId="97" fillId="52" borderId="0" xfId="0" applyFont="1" applyFill="1" applyAlignment="1">
      <alignment vertical="center"/>
    </xf>
    <xf numFmtId="0" fontId="97" fillId="53" borderId="0" xfId="0" applyFont="1" applyFill="1" applyAlignment="1">
      <alignment vertical="center"/>
    </xf>
    <xf numFmtId="0" fontId="107" fillId="53" borderId="0" xfId="0" applyFont="1" applyFill="1"/>
    <xf numFmtId="0" fontId="84" fillId="53" borderId="182" xfId="6" applyFont="1" applyFill="1" applyBorder="1" applyAlignment="1">
      <alignment horizontal="center" vertical="center"/>
    </xf>
    <xf numFmtId="0" fontId="105" fillId="53" borderId="189" xfId="0" applyFont="1" applyFill="1" applyBorder="1" applyAlignment="1">
      <alignment horizontal="center" vertical="center" wrapText="1"/>
    </xf>
    <xf numFmtId="0" fontId="0" fillId="8" borderId="0" xfId="0" applyFill="1"/>
    <xf numFmtId="0" fontId="13" fillId="8" borderId="0" xfId="0" applyFont="1" applyFill="1" applyAlignment="1">
      <alignment vertical="center"/>
    </xf>
    <xf numFmtId="0" fontId="21" fillId="8" borderId="0" xfId="0" applyFont="1" applyFill="1" applyAlignment="1">
      <alignment vertical="center"/>
    </xf>
    <xf numFmtId="0" fontId="5" fillId="54" borderId="0" xfId="0" applyFont="1" applyFill="1" applyAlignment="1">
      <alignment horizontal="center" vertical="center" wrapText="1"/>
    </xf>
    <xf numFmtId="0" fontId="101" fillId="54" borderId="1" xfId="0" applyFont="1" applyFill="1" applyBorder="1" applyAlignment="1">
      <alignment vertical="center"/>
    </xf>
    <xf numFmtId="0" fontId="8" fillId="54" borderId="1" xfId="0" applyFont="1" applyFill="1" applyBorder="1" applyAlignment="1">
      <alignment horizontal="center" vertical="center" wrapText="1"/>
    </xf>
    <xf numFmtId="0" fontId="110" fillId="54" borderId="1" xfId="0" applyFont="1" applyFill="1" applyBorder="1" applyAlignment="1">
      <alignment horizontal="center" vertical="center" wrapText="1"/>
    </xf>
    <xf numFmtId="0" fontId="101" fillId="52" borderId="1" xfId="2" applyFont="1" applyFill="1" applyBorder="1" applyAlignment="1">
      <alignment vertical="center"/>
    </xf>
    <xf numFmtId="0" fontId="96" fillId="48" borderId="1" xfId="2" applyFont="1" applyFill="1" applyBorder="1" applyAlignment="1">
      <alignment horizontal="center" vertical="center" wrapText="1"/>
    </xf>
    <xf numFmtId="0" fontId="19" fillId="8" borderId="0" xfId="0" applyFont="1" applyFill="1" applyAlignment="1">
      <alignment vertical="center"/>
    </xf>
    <xf numFmtId="0" fontId="108" fillId="48" borderId="0" xfId="0" applyFont="1" applyFill="1" applyAlignment="1">
      <alignment horizontal="right" vertical="center"/>
    </xf>
    <xf numFmtId="0" fontId="2" fillId="27" borderId="0" xfId="2" applyFont="1" applyFill="1" applyAlignment="1">
      <alignment vertical="center"/>
    </xf>
    <xf numFmtId="0" fontId="109" fillId="27" borderId="0" xfId="2" applyFont="1" applyFill="1" applyAlignment="1">
      <alignment vertical="center"/>
    </xf>
    <xf numFmtId="0" fontId="84" fillId="59" borderId="0" xfId="2" applyFont="1" applyFill="1" applyAlignment="1">
      <alignment horizontal="center" vertical="center"/>
    </xf>
    <xf numFmtId="0" fontId="84" fillId="53" borderId="0" xfId="2" applyFont="1" applyFill="1" applyAlignment="1">
      <alignment horizontal="center" vertical="center"/>
    </xf>
    <xf numFmtId="0" fontId="2" fillId="0" borderId="2" xfId="2" applyFont="1" applyBorder="1" applyAlignment="1">
      <alignment vertical="center" wrapText="1"/>
    </xf>
    <xf numFmtId="0" fontId="2" fillId="0" borderId="3" xfId="2" applyFont="1" applyBorder="1" applyAlignment="1">
      <alignment horizontal="center" vertical="center" wrapText="1"/>
    </xf>
    <xf numFmtId="0" fontId="105" fillId="59" borderId="4" xfId="2" applyFont="1" applyFill="1" applyBorder="1" applyAlignment="1">
      <alignment horizontal="center" vertical="center" wrapText="1"/>
    </xf>
    <xf numFmtId="0" fontId="79" fillId="0" borderId="3" xfId="2" applyFont="1" applyBorder="1" applyAlignment="1">
      <alignment vertical="center" wrapText="1"/>
    </xf>
    <xf numFmtId="0" fontId="2" fillId="0" borderId="5" xfId="2" applyFont="1" applyBorder="1" applyAlignment="1">
      <alignment vertical="center" wrapText="1"/>
    </xf>
    <xf numFmtId="0" fontId="112" fillId="0" borderId="168" xfId="2" applyFont="1" applyBorder="1" applyAlignment="1">
      <alignment horizontal="center" vertical="center" wrapText="1"/>
    </xf>
    <xf numFmtId="0" fontId="112" fillId="0" borderId="168" xfId="2" applyFont="1" applyBorder="1" applyAlignment="1">
      <alignment vertical="center" wrapText="1"/>
    </xf>
    <xf numFmtId="0" fontId="112" fillId="0" borderId="194" xfId="2" applyFont="1" applyBorder="1" applyAlignment="1">
      <alignment vertical="center" wrapText="1"/>
    </xf>
    <xf numFmtId="0" fontId="112" fillId="0" borderId="193" xfId="2" applyFont="1" applyBorder="1" applyAlignment="1">
      <alignment vertical="center" wrapText="1"/>
    </xf>
    <xf numFmtId="0" fontId="105" fillId="52" borderId="0" xfId="2" applyFont="1" applyFill="1" applyAlignment="1">
      <alignment vertical="center"/>
    </xf>
    <xf numFmtId="0" fontId="105" fillId="27" borderId="0" xfId="2" applyFont="1" applyFill="1" applyAlignment="1">
      <alignment vertical="center"/>
    </xf>
    <xf numFmtId="0" fontId="115" fillId="61" borderId="0" xfId="2" applyFont="1" applyFill="1" applyAlignment="1">
      <alignment vertical="center"/>
    </xf>
    <xf numFmtId="0" fontId="70" fillId="61" borderId="0" xfId="2" applyFont="1" applyFill="1" applyAlignment="1">
      <alignment vertical="center"/>
    </xf>
    <xf numFmtId="0" fontId="70" fillId="61" borderId="0" xfId="2" applyFont="1" applyFill="1" applyAlignment="1">
      <alignment horizontal="center" vertical="center"/>
    </xf>
    <xf numFmtId="0" fontId="70" fillId="8" borderId="0" xfId="2" applyFont="1" applyFill="1" applyAlignment="1">
      <alignment horizontal="center" vertical="center"/>
    </xf>
    <xf numFmtId="0" fontId="27" fillId="0" borderId="0" xfId="6" applyFont="1" applyAlignment="1">
      <alignment vertical="center"/>
    </xf>
    <xf numFmtId="0" fontId="94" fillId="55" borderId="0" xfId="2" applyFont="1" applyFill="1" applyAlignment="1">
      <alignment vertical="center"/>
    </xf>
    <xf numFmtId="0" fontId="27" fillId="55" borderId="0" xfId="2" applyFont="1" applyFill="1" applyAlignment="1">
      <alignment horizontal="center" vertical="center"/>
    </xf>
    <xf numFmtId="0" fontId="27" fillId="55" borderId="0" xfId="2" applyFont="1" applyFill="1" applyAlignment="1">
      <alignment vertical="center"/>
    </xf>
    <xf numFmtId="0" fontId="94" fillId="55" borderId="0" xfId="2" applyFont="1" applyFill="1" applyAlignment="1">
      <alignment horizontal="center" vertical="center"/>
    </xf>
    <xf numFmtId="0" fontId="94" fillId="8" borderId="0" xfId="2" applyFont="1" applyFill="1" applyAlignment="1">
      <alignment vertical="center"/>
    </xf>
    <xf numFmtId="0" fontId="116" fillId="61" borderId="0" xfId="2" applyFont="1" applyFill="1" applyAlignment="1">
      <alignment horizontal="right" vertical="center"/>
    </xf>
    <xf numFmtId="0" fontId="27" fillId="57" borderId="0" xfId="2" applyFont="1" applyFill="1" applyAlignment="1">
      <alignment vertical="center"/>
    </xf>
    <xf numFmtId="0" fontId="27" fillId="57" borderId="190" xfId="2" applyFont="1" applyFill="1" applyBorder="1" applyAlignment="1">
      <alignment vertical="center"/>
    </xf>
    <xf numFmtId="0" fontId="27" fillId="57" borderId="0" xfId="2" applyFont="1" applyFill="1" applyAlignment="1">
      <alignment horizontal="center" vertical="center"/>
    </xf>
    <xf numFmtId="0" fontId="27" fillId="57" borderId="0" xfId="2" applyFont="1" applyFill="1" applyAlignment="1">
      <alignment horizontal="left" vertical="center"/>
    </xf>
    <xf numFmtId="0" fontId="94" fillId="57" borderId="0" xfId="2" applyFont="1" applyFill="1" applyAlignment="1">
      <alignment horizontal="center" vertical="center"/>
    </xf>
    <xf numFmtId="0" fontId="27" fillId="8" borderId="0" xfId="2" applyFont="1" applyFill="1" applyAlignment="1">
      <alignment vertical="center"/>
    </xf>
    <xf numFmtId="0" fontId="119" fillId="12" borderId="0" xfId="2" applyFont="1" applyFill="1" applyAlignment="1">
      <alignment horizontal="right" vertical="center" wrapText="1"/>
    </xf>
    <xf numFmtId="0" fontId="52" fillId="57" borderId="213" xfId="2" applyFont="1" applyFill="1" applyBorder="1" applyAlignment="1">
      <alignment vertical="center"/>
    </xf>
    <xf numFmtId="0" fontId="117" fillId="57" borderId="213" xfId="2" applyFont="1" applyFill="1" applyBorder="1" applyAlignment="1">
      <alignment vertical="center" wrapText="1"/>
    </xf>
    <xf numFmtId="0" fontId="117" fillId="57" borderId="214" xfId="2" applyFont="1" applyFill="1" applyBorder="1" applyAlignment="1">
      <alignment vertical="center" wrapText="1"/>
    </xf>
    <xf numFmtId="0" fontId="83" fillId="61" borderId="215" xfId="2" applyFont="1" applyFill="1" applyBorder="1" applyAlignment="1">
      <alignment horizontal="center" vertical="center" wrapText="1"/>
    </xf>
    <xf numFmtId="0" fontId="105" fillId="53" borderId="215" xfId="2" applyFont="1" applyFill="1" applyBorder="1" applyAlignment="1">
      <alignment horizontal="center" vertical="center" wrapText="1"/>
    </xf>
    <xf numFmtId="0" fontId="64" fillId="61" borderId="0" xfId="2" applyFont="1" applyFill="1" applyAlignment="1">
      <alignment vertical="center"/>
    </xf>
    <xf numFmtId="0" fontId="70" fillId="61" borderId="192" xfId="2" applyFont="1" applyFill="1" applyBorder="1" applyAlignment="1">
      <alignment horizontal="center" vertical="center" wrapText="1"/>
    </xf>
    <xf numFmtId="0" fontId="120" fillId="64" borderId="209" xfId="2" applyFont="1" applyFill="1" applyBorder="1" applyAlignment="1">
      <alignment vertical="center" wrapText="1"/>
    </xf>
    <xf numFmtId="0" fontId="118" fillId="64" borderId="209" xfId="2" applyFont="1" applyFill="1" applyBorder="1" applyAlignment="1">
      <alignment horizontal="center" vertical="center" wrapText="1"/>
    </xf>
    <xf numFmtId="0" fontId="105" fillId="59" borderId="216" xfId="2" applyFont="1" applyFill="1" applyBorder="1" applyAlignment="1">
      <alignment horizontal="center" vertical="center" wrapText="1"/>
    </xf>
    <xf numFmtId="0" fontId="64" fillId="63" borderId="195" xfId="2" applyFont="1" applyFill="1" applyBorder="1" applyAlignment="1">
      <alignment horizontal="center" vertical="center"/>
    </xf>
    <xf numFmtId="0" fontId="64" fillId="63" borderId="196" xfId="2" applyFont="1" applyFill="1" applyBorder="1" applyAlignment="1">
      <alignment horizontal="center" vertical="center"/>
    </xf>
    <xf numFmtId="0" fontId="64" fillId="63" borderId="197" xfId="2" applyFont="1" applyFill="1" applyBorder="1" applyAlignment="1">
      <alignment horizontal="center" vertical="center"/>
    </xf>
    <xf numFmtId="0" fontId="99" fillId="61" borderId="0" xfId="0" applyFont="1" applyFill="1" applyAlignment="1">
      <alignment vertical="center"/>
    </xf>
    <xf numFmtId="0" fontId="122" fillId="61" borderId="0" xfId="0" applyFont="1" applyFill="1"/>
    <xf numFmtId="0" fontId="0" fillId="9" borderId="232" xfId="0" applyFill="1" applyBorder="1" applyAlignment="1">
      <alignment vertical="center" wrapText="1"/>
    </xf>
    <xf numFmtId="0" fontId="0" fillId="65" borderId="0" xfId="0" applyFill="1" applyAlignment="1">
      <alignment vertical="center"/>
    </xf>
    <xf numFmtId="0" fontId="13" fillId="8" borderId="0" xfId="0" applyFont="1" applyFill="1"/>
    <xf numFmtId="0" fontId="25" fillId="8" borderId="0" xfId="0" applyFont="1" applyFill="1" applyAlignment="1">
      <alignment vertical="center"/>
    </xf>
    <xf numFmtId="0" fontId="0" fillId="8" borderId="0" xfId="0" applyFill="1" applyAlignment="1">
      <alignment horizontal="left" vertical="center" indent="1"/>
    </xf>
    <xf numFmtId="0" fontId="125" fillId="8" borderId="0" xfId="0" applyFont="1" applyFill="1" applyAlignment="1">
      <alignment vertical="center"/>
    </xf>
    <xf numFmtId="0" fontId="84" fillId="66" borderId="0" xfId="7" applyFont="1" applyFill="1" applyAlignment="1">
      <alignment horizontal="center" vertical="center"/>
    </xf>
    <xf numFmtId="0" fontId="126" fillId="8" borderId="0" xfId="8" applyFont="1" applyFill="1" applyAlignment="1">
      <alignment horizontal="center" vertical="center"/>
    </xf>
    <xf numFmtId="0" fontId="127" fillId="8" borderId="0" xfId="8" applyFont="1" applyFill="1" applyAlignment="1">
      <alignment horizontal="center" vertical="center"/>
    </xf>
    <xf numFmtId="0" fontId="2" fillId="8" borderId="0" xfId="8" applyFill="1"/>
    <xf numFmtId="0" fontId="128" fillId="60" borderId="0" xfId="8" applyFont="1" applyFill="1" applyAlignment="1">
      <alignment horizontal="center" vertical="center"/>
    </xf>
    <xf numFmtId="0" fontId="129" fillId="67" borderId="234" xfId="6" applyFont="1" applyFill="1" applyBorder="1" applyAlignment="1">
      <alignment horizontal="center" vertical="center"/>
    </xf>
    <xf numFmtId="0" fontId="129" fillId="68" borderId="234" xfId="6" applyFont="1" applyFill="1" applyBorder="1" applyAlignment="1">
      <alignment horizontal="center" vertical="center"/>
    </xf>
    <xf numFmtId="0" fontId="2" fillId="0" borderId="0" xfId="8"/>
    <xf numFmtId="0" fontId="92" fillId="15" borderId="0" xfId="7" quotePrefix="1" applyFont="1" applyFill="1" applyAlignment="1">
      <alignment horizontal="center" vertical="center"/>
    </xf>
    <xf numFmtId="0" fontId="130" fillId="68" borderId="0" xfId="7" applyFont="1" applyFill="1" applyAlignment="1">
      <alignment horizontal="left" vertical="center"/>
    </xf>
    <xf numFmtId="0" fontId="131" fillId="68" borderId="0" xfId="7" applyFont="1" applyFill="1" applyAlignment="1">
      <alignment horizontal="left" vertical="center"/>
    </xf>
    <xf numFmtId="0" fontId="92" fillId="69" borderId="0" xfId="7" quotePrefix="1" applyFont="1" applyFill="1" applyAlignment="1">
      <alignment horizontal="center" vertical="center"/>
    </xf>
    <xf numFmtId="0" fontId="132" fillId="68" borderId="0" xfId="7" applyFont="1" applyFill="1" applyAlignment="1">
      <alignment horizontal="right" vertical="center"/>
    </xf>
    <xf numFmtId="0" fontId="133" fillId="68" borderId="0" xfId="7" applyFont="1" applyFill="1" applyAlignment="1">
      <alignment horizontal="left" vertical="center"/>
    </xf>
    <xf numFmtId="0" fontId="35" fillId="8" borderId="0" xfId="8" applyFont="1" applyFill="1" applyAlignment="1">
      <alignment horizontal="left" vertical="center"/>
    </xf>
    <xf numFmtId="0" fontId="88" fillId="8" borderId="0" xfId="8" applyFont="1" applyFill="1" applyAlignment="1">
      <alignment horizontal="right" vertical="center"/>
    </xf>
    <xf numFmtId="0" fontId="134" fillId="8" borderId="0" xfId="8" applyFont="1" applyFill="1" applyAlignment="1">
      <alignment horizontal="left" vertical="center"/>
    </xf>
    <xf numFmtId="0" fontId="40" fillId="8" borderId="0" xfId="8" applyFont="1" applyFill="1" applyAlignment="1">
      <alignment horizontal="left" vertical="center"/>
    </xf>
    <xf numFmtId="0" fontId="89" fillId="8" borderId="0" xfId="8" applyFont="1" applyFill="1" applyAlignment="1">
      <alignment horizontal="left" vertical="center"/>
    </xf>
    <xf numFmtId="0" fontId="135" fillId="8" borderId="0" xfId="8" applyFont="1" applyFill="1" applyAlignment="1">
      <alignment horizontal="left" vertical="center"/>
    </xf>
    <xf numFmtId="0" fontId="136" fillId="70" borderId="0" xfId="4" applyFont="1" applyFill="1" applyAlignment="1">
      <alignment horizontal="right" vertical="center"/>
    </xf>
    <xf numFmtId="175" fontId="136" fillId="8" borderId="0" xfId="4" applyNumberFormat="1" applyFont="1" applyFill="1" applyAlignment="1">
      <alignment vertical="center"/>
    </xf>
    <xf numFmtId="175" fontId="137" fillId="8" borderId="0" xfId="4" applyNumberFormat="1" applyFont="1" applyFill="1" applyAlignment="1">
      <alignment horizontal="left" vertical="center"/>
    </xf>
    <xf numFmtId="175" fontId="137" fillId="8" borderId="0" xfId="4" applyNumberFormat="1" applyFont="1" applyFill="1" applyAlignment="1">
      <alignment horizontal="right" vertical="center"/>
    </xf>
    <xf numFmtId="0" fontId="139" fillId="8" borderId="0" xfId="9" applyFont="1" applyFill="1" applyAlignment="1">
      <alignment horizontal="left" vertical="center"/>
    </xf>
    <xf numFmtId="0" fontId="140" fillId="0" borderId="0" xfId="8" applyFont="1"/>
    <xf numFmtId="0" fontId="27" fillId="8" borderId="0" xfId="3" applyFill="1"/>
    <xf numFmtId="0" fontId="27" fillId="0" borderId="0" xfId="3"/>
    <xf numFmtId="0" fontId="93" fillId="65" borderId="174" xfId="7" applyFont="1" applyFill="1" applyBorder="1" applyAlignment="1">
      <alignment horizontal="center" vertical="center"/>
    </xf>
    <xf numFmtId="0" fontId="83" fillId="8" borderId="0" xfId="8" applyFont="1" applyFill="1" applyAlignment="1">
      <alignment horizontal="left" vertical="center"/>
    </xf>
    <xf numFmtId="0" fontId="93" fillId="65" borderId="235" xfId="7" applyFont="1" applyFill="1" applyBorder="1" applyAlignment="1">
      <alignment horizontal="center" vertical="center"/>
    </xf>
    <xf numFmtId="0" fontId="27" fillId="8" borderId="238" xfId="3" applyFill="1" applyBorder="1"/>
    <xf numFmtId="0" fontId="88" fillId="8" borderId="0" xfId="8" applyFont="1" applyFill="1" applyAlignment="1">
      <alignment horizontal="left" vertical="center"/>
    </xf>
    <xf numFmtId="0" fontId="105" fillId="66" borderId="0" xfId="7" applyFont="1" applyFill="1" applyAlignment="1">
      <alignment horizontal="center" vertical="center"/>
    </xf>
    <xf numFmtId="0" fontId="143" fillId="8" borderId="0" xfId="3" applyFont="1" applyFill="1" applyAlignment="1">
      <alignment horizontal="center" vertical="center"/>
    </xf>
    <xf numFmtId="0" fontId="88" fillId="8" borderId="0" xfId="8" applyFont="1" applyFill="1" applyAlignment="1">
      <alignment horizontal="center" vertical="center"/>
    </xf>
    <xf numFmtId="0" fontId="2" fillId="8" borderId="0" xfId="3" applyFont="1" applyFill="1"/>
    <xf numFmtId="0" fontId="144" fillId="8" borderId="0" xfId="3" applyFont="1" applyFill="1" applyAlignment="1">
      <alignment vertical="center"/>
    </xf>
    <xf numFmtId="0" fontId="27" fillId="8" borderId="0" xfId="3" applyFill="1" applyAlignment="1">
      <alignment vertical="center"/>
    </xf>
    <xf numFmtId="0" fontId="65" fillId="8" borderId="0" xfId="3" applyFont="1" applyFill="1" applyAlignment="1">
      <alignment vertical="center"/>
    </xf>
    <xf numFmtId="0" fontId="27" fillId="0" borderId="0" xfId="3" applyAlignment="1">
      <alignment horizontal="center"/>
    </xf>
    <xf numFmtId="0" fontId="94" fillId="8" borderId="0" xfId="3" applyFont="1" applyFill="1" applyAlignment="1">
      <alignment vertical="center"/>
    </xf>
    <xf numFmtId="0" fontId="138" fillId="71" borderId="0" xfId="9" applyNumberFormat="1" applyFill="1" applyBorder="1" applyAlignment="1">
      <alignment horizontal="center" vertical="center"/>
    </xf>
    <xf numFmtId="0" fontId="2" fillId="8" borderId="0" xfId="3" applyFont="1" applyFill="1" applyAlignment="1">
      <alignment vertical="top"/>
    </xf>
    <xf numFmtId="0" fontId="2" fillId="8" borderId="238" xfId="3" applyFont="1" applyFill="1" applyBorder="1" applyAlignment="1">
      <alignment vertical="top"/>
    </xf>
    <xf numFmtId="0" fontId="27" fillId="15" borderId="0" xfId="3" applyFill="1" applyAlignment="1">
      <alignment vertical="center"/>
    </xf>
    <xf numFmtId="0" fontId="2" fillId="8" borderId="0" xfId="3" applyFont="1" applyFill="1" applyAlignment="1">
      <alignment horizontal="left" vertical="center"/>
    </xf>
    <xf numFmtId="0" fontId="27" fillId="8" borderId="0" xfId="3" applyFill="1" applyAlignment="1">
      <alignment horizontal="center"/>
    </xf>
    <xf numFmtId="0" fontId="138" fillId="71" borderId="0" xfId="10" applyNumberFormat="1" applyFill="1" applyBorder="1" applyAlignment="1">
      <alignment horizontal="center" vertical="center"/>
    </xf>
    <xf numFmtId="0" fontId="27" fillId="0" borderId="0" xfId="3" applyAlignment="1">
      <alignment vertical="center"/>
    </xf>
    <xf numFmtId="0" fontId="27" fillId="15" borderId="0" xfId="3" applyFill="1" applyAlignment="1">
      <alignment horizontal="center" vertical="center"/>
    </xf>
    <xf numFmtId="0" fontId="27" fillId="8" borderId="0" xfId="3" applyFill="1" applyAlignment="1">
      <alignment horizontal="center" vertical="center" wrapText="1"/>
    </xf>
    <xf numFmtId="0" fontId="27" fillId="8" borderId="238" xfId="3" applyFill="1" applyBorder="1" applyAlignment="1">
      <alignment horizontal="center" vertical="center" wrapText="1"/>
    </xf>
    <xf numFmtId="0" fontId="145" fillId="8" borderId="0" xfId="3" applyFont="1" applyFill="1" applyAlignment="1">
      <alignment vertical="center"/>
    </xf>
    <xf numFmtId="0" fontId="27" fillId="9" borderId="0" xfId="3" applyFill="1" applyAlignment="1">
      <alignment horizontal="center" vertical="center"/>
    </xf>
    <xf numFmtId="0" fontId="2" fillId="8" borderId="238" xfId="3" applyFont="1" applyFill="1" applyBorder="1" applyAlignment="1">
      <alignment horizontal="left" vertical="center"/>
    </xf>
    <xf numFmtId="0" fontId="138" fillId="72" borderId="0" xfId="10" applyNumberFormat="1" applyFill="1" applyBorder="1" applyAlignment="1">
      <alignment horizontal="center"/>
    </xf>
    <xf numFmtId="0" fontId="94" fillId="0" borderId="0" xfId="3" applyFont="1" applyAlignment="1">
      <alignment vertical="center"/>
    </xf>
    <xf numFmtId="0" fontId="144" fillId="0" borderId="0" xfId="3" applyFont="1" applyAlignment="1">
      <alignment horizontal="right" vertical="center"/>
    </xf>
    <xf numFmtId="0" fontId="146" fillId="0" borderId="0" xfId="11" applyAlignment="1">
      <alignment vertical="center"/>
    </xf>
    <xf numFmtId="0" fontId="147" fillId="8" borderId="235" xfId="12" applyFont="1" applyFill="1" applyBorder="1" applyAlignment="1">
      <alignment vertical="center"/>
    </xf>
    <xf numFmtId="0" fontId="147" fillId="8" borderId="234" xfId="3" applyFont="1" applyFill="1" applyBorder="1"/>
    <xf numFmtId="0" fontId="148" fillId="8" borderId="236" xfId="3" applyFont="1" applyFill="1" applyBorder="1"/>
    <xf numFmtId="0" fontId="147" fillId="8" borderId="237" xfId="12" applyFont="1" applyFill="1" applyBorder="1" applyAlignment="1">
      <alignment vertical="center"/>
    </xf>
    <xf numFmtId="0" fontId="147" fillId="8" borderId="0" xfId="3" applyFont="1" applyFill="1"/>
    <xf numFmtId="0" fontId="148" fillId="8" borderId="238" xfId="3" applyFont="1" applyFill="1" applyBorder="1"/>
    <xf numFmtId="0" fontId="2" fillId="8" borderId="0" xfId="3" applyFont="1" applyFill="1" applyAlignment="1">
      <alignment horizontal="center" vertical="top" wrapText="1"/>
    </xf>
    <xf numFmtId="0" fontId="2" fillId="8" borderId="238" xfId="3" applyFont="1" applyFill="1" applyBorder="1" applyAlignment="1">
      <alignment horizontal="center" vertical="top" wrapText="1"/>
    </xf>
    <xf numFmtId="0" fontId="83" fillId="8" borderId="237" xfId="7" applyFont="1" applyFill="1" applyBorder="1" applyAlignment="1" applyProtection="1">
      <alignment vertical="center"/>
      <protection hidden="1"/>
    </xf>
    <xf numFmtId="0" fontId="149" fillId="8" borderId="0" xfId="7" applyFont="1" applyFill="1"/>
    <xf numFmtId="0" fontId="149" fillId="8" borderId="238" xfId="7" applyFont="1" applyFill="1" applyBorder="1"/>
    <xf numFmtId="0" fontId="150" fillId="60" borderId="237" xfId="7" applyFont="1" applyFill="1" applyBorder="1" applyAlignment="1">
      <alignment horizontal="center" vertical="center"/>
    </xf>
    <xf numFmtId="0" fontId="150" fillId="60" borderId="0" xfId="7" applyFont="1" applyFill="1" applyAlignment="1">
      <alignment horizontal="center" vertical="center"/>
    </xf>
    <xf numFmtId="0" fontId="150" fillId="60" borderId="238" xfId="7" applyFont="1" applyFill="1" applyBorder="1" applyAlignment="1">
      <alignment horizontal="center" vertical="center"/>
    </xf>
    <xf numFmtId="0" fontId="151" fillId="0" borderId="0" xfId="12" applyFont="1" applyAlignment="1">
      <alignment vertical="center"/>
    </xf>
    <xf numFmtId="0" fontId="27" fillId="8" borderId="0" xfId="3" applyFill="1" applyAlignment="1">
      <alignment horizontal="left" vertical="center"/>
    </xf>
    <xf numFmtId="0" fontId="27" fillId="8" borderId="0" xfId="3" applyFill="1" applyAlignment="1">
      <alignment horizontal="right" vertical="center"/>
    </xf>
    <xf numFmtId="0" fontId="2" fillId="8" borderId="0" xfId="3" applyFont="1" applyFill="1" applyAlignment="1">
      <alignment horizontal="left" vertical="top"/>
    </xf>
    <xf numFmtId="0" fontId="150" fillId="15" borderId="239" xfId="7" applyFont="1" applyFill="1" applyBorder="1" applyAlignment="1">
      <alignment horizontal="center" vertical="center"/>
    </xf>
    <xf numFmtId="0" fontId="150" fillId="15" borderId="240" xfId="7" applyFont="1" applyFill="1" applyBorder="1" applyAlignment="1">
      <alignment horizontal="center" vertical="center"/>
    </xf>
    <xf numFmtId="0" fontId="150" fillId="15" borderId="241" xfId="7" applyFont="1" applyFill="1" applyBorder="1" applyAlignment="1">
      <alignment horizontal="center" vertical="center"/>
    </xf>
    <xf numFmtId="0" fontId="2" fillId="0" borderId="0" xfId="3" applyFont="1"/>
    <xf numFmtId="0" fontId="2" fillId="8" borderId="0" xfId="3" applyFont="1" applyFill="1" applyAlignment="1">
      <alignment horizontal="center" vertical="center" wrapText="1"/>
    </xf>
    <xf numFmtId="0" fontId="2" fillId="8" borderId="238" xfId="3" applyFont="1" applyFill="1" applyBorder="1" applyAlignment="1">
      <alignment horizontal="center" vertical="center" wrapText="1"/>
    </xf>
    <xf numFmtId="176" fontId="2" fillId="0" borderId="0" xfId="3" applyNumberFormat="1" applyFont="1"/>
    <xf numFmtId="0" fontId="86" fillId="0" borderId="0" xfId="3" applyFont="1" applyAlignment="1">
      <alignment vertical="center"/>
    </xf>
    <xf numFmtId="0" fontId="86" fillId="0" borderId="0" xfId="3" applyFont="1" applyAlignment="1">
      <alignment horizontal="right" vertical="center"/>
    </xf>
    <xf numFmtId="0" fontId="94" fillId="8" borderId="0" xfId="3" applyFont="1" applyFill="1" applyAlignment="1">
      <alignment horizontal="left"/>
    </xf>
    <xf numFmtId="177" fontId="2" fillId="0" borderId="0" xfId="3" applyNumberFormat="1" applyFont="1"/>
    <xf numFmtId="0" fontId="27" fillId="8" borderId="0" xfId="3" applyFill="1" applyAlignment="1">
      <alignment horizontal="left"/>
    </xf>
    <xf numFmtId="178" fontId="2" fillId="0" borderId="0" xfId="3" applyNumberFormat="1" applyFont="1"/>
    <xf numFmtId="0" fontId="87" fillId="65" borderId="235" xfId="8" applyFont="1" applyFill="1" applyBorder="1" applyAlignment="1">
      <alignment horizontal="center" vertical="center"/>
    </xf>
    <xf numFmtId="179" fontId="26" fillId="0" borderId="0" xfId="7" applyNumberFormat="1"/>
    <xf numFmtId="0" fontId="2" fillId="0" borderId="0" xfId="8" applyAlignment="1">
      <alignment horizontal="right"/>
    </xf>
    <xf numFmtId="0" fontId="152" fillId="73" borderId="0" xfId="8" applyFont="1" applyFill="1" applyAlignment="1">
      <alignment horizontal="left"/>
    </xf>
    <xf numFmtId="0" fontId="152" fillId="8" borderId="0" xfId="8" applyFont="1" applyFill="1"/>
    <xf numFmtId="0" fontId="152" fillId="8" borderId="238" xfId="8" applyFont="1" applyFill="1" applyBorder="1"/>
    <xf numFmtId="180" fontId="2" fillId="0" borderId="0" xfId="3" applyNumberFormat="1" applyFont="1"/>
    <xf numFmtId="0" fontId="2" fillId="8" borderId="0" xfId="8" applyFill="1" applyAlignment="1">
      <alignment vertical="center"/>
    </xf>
    <xf numFmtId="0" fontId="2" fillId="8" borderId="238" xfId="8" applyFill="1" applyBorder="1" applyAlignment="1">
      <alignment vertical="center"/>
    </xf>
    <xf numFmtId="175" fontId="2" fillId="0" borderId="0" xfId="3" applyNumberFormat="1" applyFont="1"/>
    <xf numFmtId="0" fontId="153" fillId="8" borderId="0" xfId="8" applyFont="1" applyFill="1" applyAlignment="1">
      <alignment horizontal="right" vertical="center"/>
    </xf>
    <xf numFmtId="0" fontId="80" fillId="73" borderId="242" xfId="8" applyFont="1" applyFill="1" applyBorder="1" applyAlignment="1">
      <alignment horizontal="center" vertical="center"/>
    </xf>
    <xf numFmtId="0" fontId="2" fillId="8" borderId="238" xfId="8" applyFill="1" applyBorder="1"/>
    <xf numFmtId="0" fontId="138" fillId="74" borderId="0" xfId="10" applyFill="1" applyBorder="1" applyAlignment="1">
      <alignment horizontal="center" vertical="center"/>
    </xf>
    <xf numFmtId="0" fontId="2" fillId="8" borderId="0" xfId="3" applyFont="1" applyFill="1" applyAlignment="1">
      <alignment vertical="center"/>
    </xf>
    <xf numFmtId="181" fontId="2" fillId="0" borderId="0" xfId="3" applyNumberFormat="1" applyFont="1"/>
    <xf numFmtId="0" fontId="138" fillId="8" borderId="0" xfId="10" applyFill="1" applyBorder="1" applyAlignment="1">
      <alignment horizontal="center" vertical="center"/>
    </xf>
    <xf numFmtId="182" fontId="26" fillId="0" borderId="0" xfId="7" applyNumberFormat="1"/>
    <xf numFmtId="0" fontId="2" fillId="8" borderId="0" xfId="8" applyFill="1" applyAlignment="1">
      <alignment horizontal="center" vertical="center"/>
    </xf>
    <xf numFmtId="183" fontId="2" fillId="0" borderId="0" xfId="3" applyNumberFormat="1" applyFont="1"/>
    <xf numFmtId="184" fontId="2" fillId="0" borderId="0" xfId="3" applyNumberFormat="1" applyFont="1"/>
    <xf numFmtId="0" fontId="146" fillId="74" borderId="0" xfId="11" applyFill="1" applyBorder="1" applyAlignment="1">
      <alignment horizontal="center" vertical="center"/>
    </xf>
    <xf numFmtId="185" fontId="26" fillId="0" borderId="0" xfId="7" applyNumberFormat="1"/>
    <xf numFmtId="186" fontId="2" fillId="0" borderId="0" xfId="3" applyNumberFormat="1" applyFont="1"/>
    <xf numFmtId="0" fontId="151" fillId="60" borderId="0" xfId="8" applyFont="1" applyFill="1" applyAlignment="1">
      <alignment horizontal="center" vertical="center"/>
    </xf>
    <xf numFmtId="0" fontId="151" fillId="60" borderId="238" xfId="8" applyFont="1" applyFill="1" applyBorder="1" applyAlignment="1">
      <alignment horizontal="center" vertical="center"/>
    </xf>
    <xf numFmtId="187" fontId="2" fillId="0" borderId="0" xfId="3" applyNumberFormat="1" applyFont="1"/>
    <xf numFmtId="0" fontId="141" fillId="8" borderId="0" xfId="3" applyFont="1" applyFill="1"/>
    <xf numFmtId="188" fontId="26" fillId="0" borderId="0" xfId="7" applyNumberFormat="1"/>
    <xf numFmtId="0" fontId="153" fillId="8" borderId="0" xfId="3" applyFont="1" applyFill="1"/>
    <xf numFmtId="189" fontId="26" fillId="0" borderId="0" xfId="7" applyNumberFormat="1"/>
    <xf numFmtId="0" fontId="88" fillId="8" borderId="0" xfId="13" applyFont="1" applyFill="1"/>
    <xf numFmtId="0" fontId="26" fillId="0" borderId="0" xfId="7"/>
    <xf numFmtId="0" fontId="154" fillId="8" borderId="0" xfId="7" applyFont="1" applyFill="1" applyAlignment="1" applyProtection="1">
      <alignment horizontal="right" vertical="center"/>
      <protection hidden="1"/>
    </xf>
    <xf numFmtId="190" fontId="2" fillId="0" borderId="0" xfId="3" applyNumberFormat="1" applyFont="1"/>
    <xf numFmtId="191" fontId="26" fillId="0" borderId="0" xfId="7" applyNumberFormat="1"/>
    <xf numFmtId="192" fontId="26" fillId="0" borderId="0" xfId="7" applyNumberFormat="1"/>
    <xf numFmtId="193" fontId="26" fillId="0" borderId="0" xfId="7" applyNumberFormat="1"/>
    <xf numFmtId="0" fontId="146" fillId="8" borderId="0" xfId="11" applyFill="1"/>
    <xf numFmtId="194" fontId="26" fillId="0" borderId="0" xfId="7" applyNumberFormat="1"/>
    <xf numFmtId="195" fontId="26" fillId="0" borderId="0" xfId="7" applyNumberFormat="1"/>
    <xf numFmtId="174" fontId="2" fillId="0" borderId="0" xfId="3" applyNumberFormat="1" applyFont="1"/>
    <xf numFmtId="173" fontId="2" fillId="0" borderId="0" xfId="3" applyNumberFormat="1" applyFont="1"/>
    <xf numFmtId="0" fontId="27" fillId="8" borderId="240" xfId="3" applyFill="1" applyBorder="1"/>
    <xf numFmtId="0" fontId="27" fillId="8" borderId="241" xfId="3" applyFill="1" applyBorder="1"/>
    <xf numFmtId="0" fontId="40" fillId="0" borderId="0" xfId="8" applyFont="1" applyAlignment="1">
      <alignment horizontal="left" vertical="center"/>
    </xf>
    <xf numFmtId="0" fontId="156" fillId="8" borderId="0" xfId="8" applyFont="1" applyFill="1" applyAlignment="1">
      <alignment horizontal="left" vertical="center"/>
    </xf>
    <xf numFmtId="0" fontId="157" fillId="0" borderId="0" xfId="3" applyFont="1"/>
    <xf numFmtId="0" fontId="90" fillId="8" borderId="0" xfId="8" applyFont="1" applyFill="1" applyAlignment="1">
      <alignment horizontal="left" vertical="center"/>
    </xf>
    <xf numFmtId="0" fontId="161" fillId="75" borderId="0" xfId="14" applyFont="1" applyFill="1" applyAlignment="1" applyProtection="1">
      <alignment horizontal="left" vertical="center"/>
      <protection locked="0"/>
    </xf>
    <xf numFmtId="175" fontId="162" fillId="75" borderId="0" xfId="14" applyNumberFormat="1" applyFont="1" applyFill="1" applyAlignment="1" applyProtection="1">
      <alignment horizontal="center" vertical="center"/>
      <protection locked="0"/>
    </xf>
    <xf numFmtId="0" fontId="163" fillId="75" borderId="0" xfId="14" applyFont="1" applyFill="1" applyAlignment="1" applyProtection="1">
      <alignment horizontal="left" vertical="center"/>
      <protection locked="0"/>
    </xf>
    <xf numFmtId="0" fontId="2" fillId="8" borderId="0" xfId="3" applyFont="1" applyFill="1" applyAlignment="1">
      <alignment horizontal="center"/>
    </xf>
    <xf numFmtId="0" fontId="124" fillId="76" borderId="234" xfId="6" applyFont="1" applyFill="1" applyBorder="1" applyAlignment="1">
      <alignment vertical="center"/>
    </xf>
    <xf numFmtId="0" fontId="165" fillId="76" borderId="236" xfId="6" applyFont="1" applyFill="1" applyBorder="1" applyAlignment="1">
      <alignment horizontal="right" vertical="center"/>
    </xf>
    <xf numFmtId="0" fontId="156" fillId="8" borderId="0" xfId="3" applyFont="1" applyFill="1" applyAlignment="1">
      <alignment horizontal="left" vertical="center"/>
    </xf>
    <xf numFmtId="0" fontId="86" fillId="8" borderId="0" xfId="3" applyFont="1" applyFill="1"/>
    <xf numFmtId="0" fontId="2" fillId="76" borderId="0" xfId="3" applyFont="1" applyFill="1"/>
    <xf numFmtId="0" fontId="2" fillId="76" borderId="0" xfId="3" applyFont="1" applyFill="1" applyAlignment="1">
      <alignment horizontal="right" vertical="center"/>
    </xf>
    <xf numFmtId="0" fontId="94" fillId="76" borderId="0" xfId="3" applyFont="1" applyFill="1" applyAlignment="1">
      <alignment horizontal="right" vertical="center"/>
    </xf>
    <xf numFmtId="0" fontId="94" fillId="76" borderId="0" xfId="3" applyFont="1" applyFill="1" applyAlignment="1">
      <alignment horizontal="left" vertical="center"/>
    </xf>
    <xf numFmtId="0" fontId="94" fillId="76" borderId="238" xfId="3" applyFont="1" applyFill="1" applyBorder="1"/>
    <xf numFmtId="0" fontId="166" fillId="8" borderId="0" xfId="10" applyFont="1" applyFill="1" applyAlignment="1">
      <alignment horizontal="left" vertical="center"/>
    </xf>
    <xf numFmtId="0" fontId="86" fillId="76" borderId="0" xfId="3" applyFont="1" applyFill="1" applyAlignment="1">
      <alignment horizontal="center" vertical="center"/>
    </xf>
    <xf numFmtId="1" fontId="40" fillId="77" borderId="0" xfId="15" applyNumberFormat="1" applyFont="1" applyFill="1" applyAlignment="1">
      <alignment horizontal="center" vertical="center"/>
    </xf>
    <xf numFmtId="0" fontId="40" fillId="77" borderId="243" xfId="4" applyFont="1" applyFill="1" applyBorder="1" applyAlignment="1">
      <alignment horizontal="left" vertical="center"/>
    </xf>
    <xf numFmtId="0" fontId="40" fillId="77" borderId="243" xfId="4" applyFont="1" applyFill="1" applyBorder="1" applyAlignment="1">
      <alignment horizontal="right" vertical="center"/>
    </xf>
    <xf numFmtId="1" fontId="40" fillId="77" borderId="243" xfId="15" applyNumberFormat="1" applyFont="1" applyFill="1" applyBorder="1" applyAlignment="1">
      <alignment horizontal="right" vertical="center"/>
    </xf>
    <xf numFmtId="180" fontId="27" fillId="77" borderId="243" xfId="3" applyNumberFormat="1" applyFill="1" applyBorder="1" applyAlignment="1">
      <alignment horizontal="center" vertical="center"/>
    </xf>
    <xf numFmtId="0" fontId="27" fillId="77" borderId="243" xfId="3" applyFill="1" applyBorder="1" applyAlignment="1">
      <alignment horizontal="right" vertical="center"/>
    </xf>
    <xf numFmtId="175" fontId="27" fillId="77" borderId="244" xfId="3" applyNumberFormat="1" applyFill="1" applyBorder="1" applyAlignment="1">
      <alignment horizontal="left" vertical="center"/>
    </xf>
    <xf numFmtId="180" fontId="27" fillId="77" borderId="0" xfId="3" applyNumberFormat="1" applyFill="1" applyAlignment="1">
      <alignment horizontal="center" vertical="center"/>
    </xf>
    <xf numFmtId="2" fontId="84" fillId="78" borderId="0" xfId="7" applyNumberFormat="1" applyFont="1" applyFill="1" applyAlignment="1" applyProtection="1">
      <alignment horizontal="center" vertical="center"/>
      <protection locked="0"/>
    </xf>
    <xf numFmtId="0" fontId="144" fillId="75" borderId="0" xfId="14" applyFont="1" applyFill="1" applyAlignment="1" applyProtection="1">
      <alignment vertical="center"/>
      <protection locked="0"/>
    </xf>
    <xf numFmtId="0" fontId="169" fillId="75" borderId="0" xfId="14" applyFont="1" applyFill="1" applyAlignment="1" applyProtection="1">
      <alignment vertical="center"/>
      <protection locked="0"/>
    </xf>
    <xf numFmtId="0" fontId="2" fillId="8" borderId="238" xfId="3" applyFont="1" applyFill="1" applyBorder="1"/>
    <xf numFmtId="0" fontId="27" fillId="77" borderId="0" xfId="3" applyFill="1" applyAlignment="1">
      <alignment horizontal="center" vertical="center"/>
    </xf>
    <xf numFmtId="0" fontId="170" fillId="75" borderId="0" xfId="14" applyFont="1" applyFill="1" applyAlignment="1" applyProtection="1">
      <alignment horizontal="right" vertical="center"/>
      <protection locked="0"/>
    </xf>
    <xf numFmtId="175" fontId="27" fillId="77" borderId="0" xfId="3" applyNumberFormat="1" applyFill="1" applyAlignment="1">
      <alignment horizontal="center" vertical="center"/>
    </xf>
    <xf numFmtId="0" fontId="149" fillId="8" borderId="0" xfId="3" applyFont="1" applyFill="1"/>
    <xf numFmtId="0" fontId="92" fillId="8" borderId="0" xfId="4" applyFont="1" applyFill="1" applyAlignment="1">
      <alignment horizontal="left" vertical="center"/>
    </xf>
    <xf numFmtId="0" fontId="172" fillId="8" borderId="0" xfId="3" applyFont="1" applyFill="1" applyAlignment="1">
      <alignment vertical="center"/>
    </xf>
    <xf numFmtId="0" fontId="156" fillId="8" borderId="0" xfId="10" applyFont="1" applyFill="1" applyBorder="1" applyAlignment="1">
      <alignment horizontal="center" vertical="center"/>
    </xf>
    <xf numFmtId="196" fontId="127" fillId="8" borderId="0" xfId="6" applyNumberFormat="1" applyFont="1" applyFill="1" applyAlignment="1" applyProtection="1">
      <alignment horizontal="center" vertical="center"/>
      <protection locked="0"/>
    </xf>
    <xf numFmtId="0" fontId="173" fillId="8" borderId="0" xfId="4" applyFont="1" applyFill="1" applyAlignment="1">
      <alignment horizontal="right" vertical="center"/>
    </xf>
    <xf numFmtId="175" fontId="174" fillId="79" borderId="0" xfId="14" applyNumberFormat="1" applyFont="1" applyFill="1" applyAlignment="1" applyProtection="1">
      <alignment horizontal="center" vertical="center"/>
      <protection locked="0"/>
    </xf>
    <xf numFmtId="0" fontId="161" fillId="80" borderId="0" xfId="14" applyFont="1" applyFill="1" applyAlignment="1" applyProtection="1">
      <alignment horizontal="left" vertical="center"/>
      <protection locked="0"/>
    </xf>
    <xf numFmtId="175" fontId="162" fillId="75" borderId="0" xfId="14" applyNumberFormat="1" applyFont="1" applyFill="1" applyAlignment="1" applyProtection="1">
      <alignment horizontal="right" vertical="center"/>
      <protection locked="0"/>
    </xf>
    <xf numFmtId="0" fontId="175" fillId="8" borderId="238" xfId="3" applyFont="1" applyFill="1" applyBorder="1" applyAlignment="1">
      <alignment horizontal="left" vertical="center"/>
    </xf>
    <xf numFmtId="0" fontId="161" fillId="75" borderId="0" xfId="14" applyFont="1" applyFill="1" applyAlignment="1" applyProtection="1">
      <alignment horizontal="right" vertical="center"/>
      <protection locked="0"/>
    </xf>
    <xf numFmtId="197" fontId="176" fillId="81" borderId="0" xfId="6" applyNumberFormat="1" applyFont="1" applyFill="1" applyAlignment="1" applyProtection="1">
      <alignment horizontal="center" vertical="center"/>
      <protection locked="0"/>
    </xf>
    <xf numFmtId="0" fontId="161" fillId="75" borderId="0" xfId="14" applyFont="1" applyFill="1" applyAlignment="1" applyProtection="1">
      <alignment horizontal="center" vertical="center"/>
      <protection locked="0"/>
    </xf>
    <xf numFmtId="0" fontId="177" fillId="8" borderId="0" xfId="14" applyFont="1" applyFill="1" applyAlignment="1" applyProtection="1">
      <alignment horizontal="right" vertical="center"/>
      <protection locked="0"/>
    </xf>
    <xf numFmtId="175" fontId="176" fillId="80" borderId="0" xfId="14" applyNumberFormat="1" applyFont="1" applyFill="1" applyAlignment="1" applyProtection="1">
      <alignment horizontal="center" vertical="center"/>
      <protection locked="0"/>
    </xf>
    <xf numFmtId="0" fontId="178" fillId="0" borderId="0" xfId="3" applyFont="1" applyAlignment="1">
      <alignment vertical="center"/>
    </xf>
    <xf numFmtId="0" fontId="175" fillId="8" borderId="238" xfId="7" applyFont="1" applyFill="1" applyBorder="1" applyAlignment="1">
      <alignment horizontal="left" vertical="center"/>
    </xf>
    <xf numFmtId="0" fontId="173" fillId="8" borderId="0" xfId="14" applyFont="1" applyFill="1" applyAlignment="1" applyProtection="1">
      <alignment horizontal="right" vertical="center"/>
      <protection locked="0"/>
    </xf>
    <xf numFmtId="1" fontId="174" fillId="82" borderId="0" xfId="7" applyNumberFormat="1" applyFont="1" applyFill="1" applyAlignment="1">
      <alignment horizontal="center" vertical="center"/>
    </xf>
    <xf numFmtId="178" fontId="83" fillId="83" borderId="0" xfId="7" applyNumberFormat="1" applyFont="1" applyFill="1" applyAlignment="1">
      <alignment vertical="center"/>
    </xf>
    <xf numFmtId="0" fontId="2" fillId="0" borderId="238" xfId="3" applyFont="1" applyBorder="1"/>
    <xf numFmtId="0" fontId="88" fillId="8" borderId="0" xfId="4" applyFont="1" applyFill="1" applyAlignment="1">
      <alignment horizontal="right" vertical="center"/>
    </xf>
    <xf numFmtId="198" fontId="88" fillId="75" borderId="0" xfId="14" applyNumberFormat="1" applyFont="1" applyFill="1" applyAlignment="1" applyProtection="1">
      <alignment horizontal="center" vertical="center"/>
      <protection locked="0"/>
    </xf>
    <xf numFmtId="0" fontId="179" fillId="8" borderId="0" xfId="3" applyFont="1" applyFill="1" applyAlignment="1">
      <alignment vertical="center"/>
    </xf>
    <xf numFmtId="198" fontId="180" fillId="75" borderId="0" xfId="14" applyNumberFormat="1" applyFont="1" applyFill="1" applyAlignment="1" applyProtection="1">
      <alignment horizontal="right" vertical="center"/>
      <protection locked="0"/>
    </xf>
    <xf numFmtId="0" fontId="181" fillId="8" borderId="238" xfId="7" applyFont="1" applyFill="1" applyBorder="1" applyAlignment="1">
      <alignment horizontal="left" vertical="center"/>
    </xf>
    <xf numFmtId="0" fontId="149" fillId="8" borderId="0" xfId="4" applyFont="1" applyFill="1" applyAlignment="1">
      <alignment horizontal="right" vertical="center"/>
    </xf>
    <xf numFmtId="0" fontId="182" fillId="8" borderId="0" xfId="15" applyFont="1" applyFill="1" applyAlignment="1">
      <alignment horizontal="center" vertical="center"/>
    </xf>
    <xf numFmtId="0" fontId="149" fillId="9" borderId="0" xfId="7" applyFont="1" applyFill="1" applyAlignment="1">
      <alignment horizontal="right" vertical="center"/>
    </xf>
    <xf numFmtId="166" fontId="149" fillId="75" borderId="0" xfId="14" applyNumberFormat="1" applyFont="1" applyFill="1" applyAlignment="1" applyProtection="1">
      <alignment horizontal="center" vertical="center"/>
      <protection locked="0"/>
    </xf>
    <xf numFmtId="0" fontId="149" fillId="8" borderId="0" xfId="7" applyFont="1" applyFill="1" applyAlignment="1">
      <alignment horizontal="right" vertical="center"/>
    </xf>
    <xf numFmtId="0" fontId="88" fillId="81" borderId="0" xfId="7" applyFont="1" applyFill="1" applyAlignment="1">
      <alignment vertical="center"/>
    </xf>
    <xf numFmtId="0" fontId="174" fillId="81" borderId="0" xfId="7" applyFont="1" applyFill="1" applyAlignment="1">
      <alignment vertical="center"/>
    </xf>
    <xf numFmtId="0" fontId="174" fillId="81" borderId="238" xfId="7" applyFont="1" applyFill="1" applyBorder="1" applyAlignment="1">
      <alignment vertical="center"/>
    </xf>
    <xf numFmtId="0" fontId="183" fillId="8" borderId="0" xfId="12" applyFont="1" applyFill="1" applyAlignment="1">
      <alignment horizontal="left" vertical="center"/>
    </xf>
    <xf numFmtId="0" fontId="170" fillId="75" borderId="0" xfId="14" applyFont="1" applyFill="1" applyAlignment="1" applyProtection="1">
      <alignment horizontal="left" vertical="center"/>
      <protection locked="0"/>
    </xf>
    <xf numFmtId="0" fontId="184" fillId="75" borderId="0" xfId="14" applyFont="1" applyFill="1" applyAlignment="1" applyProtection="1">
      <alignment horizontal="left" vertical="center"/>
      <protection locked="0"/>
    </xf>
    <xf numFmtId="0" fontId="185" fillId="8" borderId="0" xfId="4" applyFont="1" applyFill="1" applyAlignment="1">
      <alignment horizontal="left" vertical="center"/>
    </xf>
    <xf numFmtId="0" fontId="185" fillId="75" borderId="0" xfId="14" applyFont="1" applyFill="1" applyAlignment="1" applyProtection="1">
      <alignment horizontal="left" vertical="center"/>
      <protection locked="0"/>
    </xf>
    <xf numFmtId="0" fontId="186" fillId="8" borderId="0" xfId="14" applyFont="1" applyFill="1" applyAlignment="1" applyProtection="1">
      <alignment horizontal="left" vertical="center"/>
      <protection locked="0"/>
    </xf>
    <xf numFmtId="0" fontId="127" fillId="0" borderId="0" xfId="8" applyFont="1" applyAlignment="1">
      <alignment horizontal="center" vertical="center"/>
    </xf>
    <xf numFmtId="0" fontId="163" fillId="80" borderId="0" xfId="14" applyFont="1" applyFill="1" applyAlignment="1" applyProtection="1">
      <alignment horizontal="left" vertical="center"/>
      <protection locked="0"/>
    </xf>
    <xf numFmtId="0" fontId="173" fillId="8" borderId="0" xfId="14" applyFont="1" applyFill="1" applyAlignment="1" applyProtection="1">
      <alignment horizontal="left" vertical="center"/>
      <protection locked="0"/>
    </xf>
    <xf numFmtId="0" fontId="92" fillId="75" borderId="0" xfId="14" applyFont="1" applyFill="1" applyAlignment="1" applyProtection="1">
      <alignment horizontal="right" vertical="center"/>
      <protection locked="0"/>
    </xf>
    <xf numFmtId="0" fontId="153" fillId="8" borderId="0" xfId="3" applyFont="1" applyFill="1" applyAlignment="1">
      <alignment horizontal="left" vertical="center"/>
    </xf>
    <xf numFmtId="0" fontId="176" fillId="8" borderId="238" xfId="7" applyFont="1" applyFill="1" applyBorder="1" applyAlignment="1">
      <alignment horizontal="center" vertical="center"/>
    </xf>
    <xf numFmtId="0" fontId="182" fillId="8" borderId="0" xfId="7" applyFont="1" applyFill="1" applyAlignment="1">
      <alignment horizontal="center" vertical="center"/>
    </xf>
    <xf numFmtId="0" fontId="148" fillId="8" borderId="0" xfId="8" applyFont="1" applyFill="1" applyAlignment="1">
      <alignment horizontal="left" vertical="center"/>
    </xf>
    <xf numFmtId="0" fontId="147" fillId="8" borderId="0" xfId="3" applyFont="1" applyFill="1" applyAlignment="1">
      <alignment horizontal="left" vertical="center"/>
    </xf>
    <xf numFmtId="0" fontId="102" fillId="84" borderId="234" xfId="6" applyFont="1" applyFill="1" applyBorder="1" applyAlignment="1">
      <alignment vertical="center"/>
    </xf>
    <xf numFmtId="0" fontId="84" fillId="84" borderId="236" xfId="6" applyFont="1" applyFill="1" applyBorder="1" applyAlignment="1">
      <alignment horizontal="right" vertical="center"/>
    </xf>
    <xf numFmtId="0" fontId="147" fillId="8" borderId="0" xfId="3" applyFont="1" applyFill="1" applyAlignment="1">
      <alignment horizontal="center"/>
    </xf>
    <xf numFmtId="0" fontId="87" fillId="84" borderId="0" xfId="3" applyFont="1" applyFill="1"/>
    <xf numFmtId="0" fontId="87" fillId="84" borderId="0" xfId="3" applyFont="1" applyFill="1" applyAlignment="1">
      <alignment horizontal="right" vertical="center"/>
    </xf>
    <xf numFmtId="0" fontId="105" fillId="84" borderId="0" xfId="3" applyFont="1" applyFill="1" applyAlignment="1">
      <alignment horizontal="right" vertical="center"/>
    </xf>
    <xf numFmtId="0" fontId="105" fillId="84" borderId="0" xfId="3" applyFont="1" applyFill="1" applyAlignment="1">
      <alignment horizontal="left" vertical="center"/>
    </xf>
    <xf numFmtId="0" fontId="87" fillId="84" borderId="238" xfId="3" applyFont="1" applyFill="1" applyBorder="1"/>
    <xf numFmtId="0" fontId="60" fillId="8" borderId="0" xfId="7" applyFont="1" applyFill="1" applyAlignment="1">
      <alignment horizontal="center" vertical="center"/>
    </xf>
    <xf numFmtId="0" fontId="84" fillId="84" borderId="0" xfId="3" applyFont="1" applyFill="1" applyAlignment="1">
      <alignment horizontal="center" vertical="center"/>
    </xf>
    <xf numFmtId="1" fontId="84" fillId="85" borderId="0" xfId="15" applyNumberFormat="1" applyFont="1" applyFill="1" applyAlignment="1">
      <alignment horizontal="center" vertical="center"/>
    </xf>
    <xf numFmtId="0" fontId="100" fillId="85" borderId="243" xfId="4" applyFont="1" applyFill="1" applyBorder="1" applyAlignment="1">
      <alignment horizontal="left" vertical="center"/>
    </xf>
    <xf numFmtId="0" fontId="105" fillId="85" borderId="243" xfId="4" applyFont="1" applyFill="1" applyBorder="1" applyAlignment="1">
      <alignment horizontal="right" vertical="center"/>
    </xf>
    <xf numFmtId="1" fontId="105" fillId="85" borderId="243" xfId="15" applyNumberFormat="1" applyFont="1" applyFill="1" applyBorder="1" applyAlignment="1">
      <alignment horizontal="right" vertical="center"/>
    </xf>
    <xf numFmtId="180" fontId="105" fillId="85" borderId="243" xfId="3" applyNumberFormat="1" applyFont="1" applyFill="1" applyBorder="1" applyAlignment="1">
      <alignment horizontal="center" vertical="center"/>
    </xf>
    <xf numFmtId="0" fontId="100" fillId="85" borderId="243" xfId="3" applyFont="1" applyFill="1" applyBorder="1" applyAlignment="1">
      <alignment horizontal="right" vertical="center"/>
    </xf>
    <xf numFmtId="175" fontId="100" fillId="85" borderId="244" xfId="3" applyNumberFormat="1" applyFont="1" applyFill="1" applyBorder="1" applyAlignment="1">
      <alignment horizontal="left" vertical="center"/>
    </xf>
    <xf numFmtId="180" fontId="84" fillId="85" borderId="0" xfId="3" applyNumberFormat="1" applyFont="1" applyFill="1" applyAlignment="1">
      <alignment horizontal="center" vertical="center"/>
    </xf>
    <xf numFmtId="0" fontId="105" fillId="85" borderId="247" xfId="7" applyFont="1" applyFill="1" applyBorder="1" applyAlignment="1">
      <alignment horizontal="center" vertical="center" wrapText="1"/>
    </xf>
    <xf numFmtId="0" fontId="82" fillId="75" borderId="0" xfId="14" applyFont="1" applyFill="1" applyAlignment="1" applyProtection="1">
      <alignment vertical="center"/>
      <protection locked="0"/>
    </xf>
    <xf numFmtId="0" fontId="87" fillId="85" borderId="0" xfId="3" applyFont="1" applyFill="1" applyAlignment="1">
      <alignment horizontal="center" vertical="center"/>
    </xf>
    <xf numFmtId="175" fontId="87" fillId="85" borderId="0" xfId="3" applyNumberFormat="1" applyFont="1" applyFill="1" applyAlignment="1">
      <alignment horizontal="center" vertical="center"/>
    </xf>
    <xf numFmtId="0" fontId="2" fillId="0" borderId="0" xfId="3" applyFont="1" applyAlignment="1">
      <alignment horizontal="center"/>
    </xf>
    <xf numFmtId="175" fontId="174" fillId="80" borderId="0" xfId="14" applyNumberFormat="1" applyFont="1" applyFill="1" applyAlignment="1" applyProtection="1">
      <alignment horizontal="center" vertical="center"/>
      <protection locked="0"/>
    </xf>
    <xf numFmtId="0" fontId="138" fillId="8" borderId="0" xfId="9" applyFill="1" applyAlignment="1">
      <alignment horizontal="center" vertical="center"/>
    </xf>
    <xf numFmtId="0" fontId="185" fillId="75" borderId="0" xfId="14" applyFont="1" applyFill="1" applyAlignment="1" applyProtection="1">
      <alignment horizontal="right" vertical="center"/>
      <protection locked="0"/>
    </xf>
    <xf numFmtId="0" fontId="66" fillId="80" borderId="0" xfId="14" applyFont="1" applyFill="1" applyAlignment="1" applyProtection="1">
      <alignment horizontal="center" vertical="center"/>
      <protection locked="0"/>
    </xf>
    <xf numFmtId="0" fontId="181" fillId="8" borderId="0" xfId="3" applyFont="1" applyFill="1" applyAlignment="1">
      <alignment horizontal="right" vertical="top"/>
    </xf>
    <xf numFmtId="0" fontId="181" fillId="8" borderId="238" xfId="3" applyFont="1" applyFill="1" applyBorder="1" applyAlignment="1">
      <alignment horizontal="left" vertical="top"/>
    </xf>
    <xf numFmtId="0" fontId="181" fillId="8" borderId="0" xfId="3" applyFont="1" applyFill="1" applyAlignment="1">
      <alignment horizontal="center" vertical="top"/>
    </xf>
    <xf numFmtId="175" fontId="79" fillId="80" borderId="0" xfId="14" applyNumberFormat="1" applyFont="1" applyFill="1" applyAlignment="1" applyProtection="1">
      <alignment horizontal="center" vertical="center"/>
      <protection locked="0"/>
    </xf>
    <xf numFmtId="0" fontId="2" fillId="8" borderId="0" xfId="3" quotePrefix="1" applyFont="1" applyFill="1" applyAlignment="1">
      <alignment vertical="center"/>
    </xf>
    <xf numFmtId="1" fontId="174" fillId="86" borderId="0" xfId="7" applyNumberFormat="1" applyFont="1" applyFill="1" applyAlignment="1">
      <alignment horizontal="center" vertical="center"/>
    </xf>
    <xf numFmtId="178" fontId="181" fillId="83" borderId="0" xfId="7" applyNumberFormat="1" applyFont="1" applyFill="1" applyAlignment="1">
      <alignment vertical="center"/>
    </xf>
    <xf numFmtId="0" fontId="175" fillId="8" borderId="0" xfId="7" applyFont="1" applyFill="1" applyAlignment="1">
      <alignment horizontal="center" vertical="center"/>
    </xf>
    <xf numFmtId="0" fontId="176" fillId="8" borderId="0" xfId="7" applyFont="1" applyFill="1" applyAlignment="1">
      <alignment horizontal="right" vertical="center"/>
    </xf>
    <xf numFmtId="0" fontId="124" fillId="88" borderId="234" xfId="6" applyFont="1" applyFill="1" applyBorder="1" applyAlignment="1">
      <alignment vertical="center"/>
    </xf>
    <xf numFmtId="0" fontId="141" fillId="88" borderId="236" xfId="6" applyFont="1" applyFill="1" applyBorder="1" applyAlignment="1">
      <alignment horizontal="right" vertical="center"/>
    </xf>
    <xf numFmtId="0" fontId="2" fillId="88" borderId="0" xfId="3" applyFont="1" applyFill="1"/>
    <xf numFmtId="0" fontId="2" fillId="88" borderId="0" xfId="3" applyFont="1" applyFill="1" applyAlignment="1">
      <alignment horizontal="right" vertical="center"/>
    </xf>
    <xf numFmtId="0" fontId="94" fillId="88" borderId="0" xfId="3" applyFont="1" applyFill="1" applyAlignment="1">
      <alignment horizontal="right" vertical="center"/>
    </xf>
    <xf numFmtId="0" fontId="94" fillId="88" borderId="0" xfId="3" applyFont="1" applyFill="1" applyAlignment="1">
      <alignment horizontal="left" vertical="center"/>
    </xf>
    <xf numFmtId="0" fontId="94" fillId="88" borderId="238" xfId="3" applyFont="1" applyFill="1" applyBorder="1"/>
    <xf numFmtId="0" fontId="40" fillId="77" borderId="0" xfId="4" applyFont="1" applyFill="1" applyAlignment="1">
      <alignment horizontal="left" vertical="center"/>
    </xf>
    <xf numFmtId="0" fontId="40" fillId="77" borderId="0" xfId="4" applyFont="1" applyFill="1" applyAlignment="1">
      <alignment horizontal="right" vertical="center"/>
    </xf>
    <xf numFmtId="0" fontId="182" fillId="77" borderId="0" xfId="15" applyFont="1" applyFill="1" applyAlignment="1">
      <alignment horizontal="center" vertical="center"/>
    </xf>
    <xf numFmtId="0" fontId="182" fillId="77" borderId="0" xfId="14" applyFont="1" applyFill="1" applyAlignment="1" applyProtection="1">
      <alignment horizontal="left" vertical="center"/>
      <protection locked="0"/>
    </xf>
    <xf numFmtId="0" fontId="2" fillId="77" borderId="0" xfId="8" applyFill="1"/>
    <xf numFmtId="0" fontId="2" fillId="77" borderId="238" xfId="8" applyFill="1" applyBorder="1"/>
    <xf numFmtId="0" fontId="182" fillId="77" borderId="0" xfId="7" applyFont="1" applyFill="1" applyAlignment="1">
      <alignment horizontal="right" vertical="center"/>
    </xf>
    <xf numFmtId="199" fontId="182" fillId="77" borderId="0" xfId="15" applyNumberFormat="1" applyFont="1" applyFill="1" applyAlignment="1">
      <alignment horizontal="center" vertical="center"/>
    </xf>
    <xf numFmtId="0" fontId="86" fillId="77" borderId="0" xfId="8" applyFont="1" applyFill="1" applyAlignment="1">
      <alignment vertical="center"/>
    </xf>
    <xf numFmtId="0" fontId="86" fillId="77" borderId="238" xfId="8" applyFont="1" applyFill="1" applyBorder="1" applyAlignment="1">
      <alignment vertical="center"/>
    </xf>
    <xf numFmtId="0" fontId="2" fillId="77" borderId="243" xfId="8" applyFill="1" applyBorder="1" applyAlignment="1">
      <alignment horizontal="right" vertical="center"/>
    </xf>
    <xf numFmtId="0" fontId="2" fillId="77" borderId="243" xfId="8" applyFill="1" applyBorder="1" applyAlignment="1">
      <alignment horizontal="center" vertical="center"/>
    </xf>
    <xf numFmtId="0" fontId="188" fillId="77" borderId="243" xfId="8" applyFont="1" applyFill="1" applyBorder="1" applyAlignment="1">
      <alignment horizontal="right" vertical="center"/>
    </xf>
    <xf numFmtId="196" fontId="149" fillId="89" borderId="243" xfId="14" applyNumberFormat="1" applyFont="1" applyFill="1" applyBorder="1" applyAlignment="1" applyProtection="1">
      <alignment horizontal="center" vertical="center"/>
      <protection locked="0"/>
    </xf>
    <xf numFmtId="196" fontId="149" fillId="89" borderId="244" xfId="14" applyNumberFormat="1" applyFont="1" applyFill="1" applyBorder="1" applyAlignment="1" applyProtection="1">
      <alignment horizontal="center" vertical="center"/>
      <protection locked="0"/>
    </xf>
    <xf numFmtId="0" fontId="171" fillId="10" borderId="0" xfId="14" applyFont="1" applyFill="1" applyAlignment="1" applyProtection="1">
      <alignment vertical="center"/>
      <protection locked="0"/>
    </xf>
    <xf numFmtId="0" fontId="171" fillId="8" borderId="238" xfId="14" applyFont="1" applyFill="1" applyBorder="1" applyAlignment="1" applyProtection="1">
      <alignment vertical="center"/>
      <protection locked="0"/>
    </xf>
    <xf numFmtId="0" fontId="189" fillId="8" borderId="0" xfId="8" applyFont="1" applyFill="1" applyAlignment="1">
      <alignment horizontal="right" vertical="center"/>
    </xf>
    <xf numFmtId="0" fontId="190" fillId="80" borderId="0" xfId="14" applyFont="1" applyFill="1" applyAlignment="1" applyProtection="1">
      <alignment horizontal="center" vertical="center" wrapText="1"/>
      <protection locked="0"/>
    </xf>
    <xf numFmtId="0" fontId="191" fillId="8" borderId="0" xfId="14" applyFont="1" applyFill="1" applyAlignment="1" applyProtection="1">
      <alignment horizontal="left" vertical="center"/>
      <protection locked="0"/>
    </xf>
    <xf numFmtId="0" fontId="171" fillId="8" borderId="238" xfId="14" applyFont="1" applyFill="1" applyBorder="1" applyAlignment="1" applyProtection="1">
      <alignment horizontal="center" vertical="center"/>
      <protection locked="0"/>
    </xf>
    <xf numFmtId="1" fontId="174" fillId="80" borderId="0" xfId="14" applyNumberFormat="1" applyFont="1" applyFill="1" applyAlignment="1" applyProtection="1">
      <alignment horizontal="center" vertical="center"/>
      <protection locked="0"/>
    </xf>
    <xf numFmtId="0" fontId="2" fillId="0" borderId="238" xfId="8" applyBorder="1"/>
    <xf numFmtId="0" fontId="192" fillId="8" borderId="0" xfId="8" applyFont="1" applyFill="1" applyAlignment="1">
      <alignment horizontal="right" vertical="center"/>
    </xf>
    <xf numFmtId="0" fontId="175" fillId="8" borderId="0" xfId="7" applyFont="1" applyFill="1" applyAlignment="1">
      <alignment horizontal="left" vertical="center"/>
    </xf>
    <xf numFmtId="0" fontId="193" fillId="75" borderId="0" xfId="14" applyFont="1" applyFill="1" applyAlignment="1" applyProtection="1">
      <alignment horizontal="right" vertical="center"/>
      <protection locked="0"/>
    </xf>
    <xf numFmtId="0" fontId="194" fillId="8" borderId="0" xfId="14" applyFont="1" applyFill="1" applyAlignment="1" applyProtection="1">
      <alignment horizontal="right" vertical="center"/>
      <protection locked="0"/>
    </xf>
    <xf numFmtId="0" fontId="80" fillId="90" borderId="0" xfId="15" applyFont="1" applyFill="1" applyAlignment="1">
      <alignment horizontal="center" vertical="center"/>
    </xf>
    <xf numFmtId="178" fontId="195" fillId="83" borderId="0" xfId="7" applyNumberFormat="1" applyFont="1" applyFill="1" applyAlignment="1">
      <alignment vertical="center"/>
    </xf>
    <xf numFmtId="166" fontId="174" fillId="80" borderId="0" xfId="14" applyNumberFormat="1" applyFont="1" applyFill="1" applyAlignment="1" applyProtection="1">
      <alignment horizontal="center" vertical="center"/>
      <protection locked="0"/>
    </xf>
    <xf numFmtId="175" fontId="149" fillId="75" borderId="0" xfId="14" applyNumberFormat="1" applyFont="1" applyFill="1" applyAlignment="1" applyProtection="1">
      <alignment horizontal="center" vertical="center"/>
      <protection locked="0"/>
    </xf>
    <xf numFmtId="166" fontId="174" fillId="75" borderId="0" xfId="14" applyNumberFormat="1" applyFont="1" applyFill="1" applyAlignment="1" applyProtection="1">
      <alignment horizontal="center" vertical="center"/>
      <protection locked="0"/>
    </xf>
    <xf numFmtId="0" fontId="153" fillId="8" borderId="0" xfId="8" applyFont="1" applyFill="1" applyAlignment="1">
      <alignment horizontal="left" vertical="center"/>
    </xf>
    <xf numFmtId="196" fontId="149" fillId="75" borderId="0" xfId="14" applyNumberFormat="1" applyFont="1" applyFill="1" applyAlignment="1" applyProtection="1">
      <alignment horizontal="center" vertical="center"/>
      <protection locked="0"/>
    </xf>
    <xf numFmtId="0" fontId="188" fillId="8" borderId="0" xfId="7" applyFont="1" applyFill="1" applyAlignment="1">
      <alignment horizontal="left" vertical="center"/>
    </xf>
    <xf numFmtId="0" fontId="194" fillId="8" borderId="0" xfId="14" applyFont="1" applyFill="1" applyAlignment="1" applyProtection="1">
      <alignment horizontal="left" vertical="center"/>
      <protection locked="0"/>
    </xf>
    <xf numFmtId="0" fontId="153" fillId="8" borderId="0" xfId="3" applyFont="1" applyFill="1" applyAlignment="1">
      <alignment horizontal="right" vertical="center"/>
    </xf>
    <xf numFmtId="0" fontId="176" fillId="8" borderId="0" xfId="7" applyFont="1" applyFill="1" applyAlignment="1">
      <alignment horizontal="left" vertical="center"/>
    </xf>
    <xf numFmtId="0" fontId="83" fillId="91" borderId="248" xfId="15" applyFont="1" applyFill="1" applyBorder="1" applyAlignment="1" applyProtection="1">
      <alignment horizontal="centerContinuous" vertical="center"/>
      <protection locked="0"/>
    </xf>
    <xf numFmtId="0" fontId="83" fillId="91" borderId="249" xfId="15" applyFont="1" applyFill="1" applyBorder="1" applyAlignment="1" applyProtection="1">
      <alignment horizontal="centerContinuous" vertical="center"/>
      <protection locked="0"/>
    </xf>
    <xf numFmtId="0" fontId="83" fillId="92" borderId="249" xfId="15" applyFont="1" applyFill="1" applyBorder="1" applyAlignment="1" applyProtection="1">
      <alignment horizontal="centerContinuous" vertical="center"/>
      <protection locked="0"/>
    </xf>
    <xf numFmtId="0" fontId="83" fillId="91" borderId="250" xfId="15" applyFont="1" applyFill="1" applyBorder="1" applyAlignment="1" applyProtection="1">
      <alignment horizontal="right" vertical="center"/>
      <protection locked="0"/>
    </xf>
    <xf numFmtId="0" fontId="149" fillId="8" borderId="0" xfId="8" applyFont="1" applyFill="1" applyAlignment="1">
      <alignment vertical="center"/>
    </xf>
    <xf numFmtId="0" fontId="2" fillId="15" borderId="251" xfId="16" applyFill="1" applyBorder="1" applyAlignment="1">
      <alignment horizontal="center" vertical="center"/>
    </xf>
    <xf numFmtId="0" fontId="167" fillId="8" borderId="243" xfId="7" applyFont="1" applyFill="1" applyBorder="1" applyAlignment="1">
      <alignment horizontal="left" vertical="center"/>
    </xf>
    <xf numFmtId="0" fontId="138" fillId="8" borderId="247" xfId="9" applyFill="1" applyBorder="1" applyAlignment="1">
      <alignment vertical="center"/>
    </xf>
    <xf numFmtId="0" fontId="138" fillId="8" borderId="252" xfId="9" applyFill="1" applyBorder="1" applyAlignment="1">
      <alignment vertical="center"/>
    </xf>
    <xf numFmtId="0" fontId="196" fillId="8" borderId="0" xfId="16" applyFont="1" applyFill="1" applyAlignment="1" applyProtection="1">
      <alignment horizontal="left" vertical="center"/>
      <protection locked="0"/>
    </xf>
    <xf numFmtId="0" fontId="196" fillId="8" borderId="245" xfId="16" applyFont="1" applyFill="1" applyBorder="1" applyAlignment="1" applyProtection="1">
      <alignment horizontal="right" vertical="center"/>
      <protection locked="0"/>
    </xf>
    <xf numFmtId="200" fontId="197" fillId="93" borderId="178" xfId="16" applyNumberFormat="1" applyFont="1" applyFill="1" applyBorder="1" applyAlignment="1" applyProtection="1">
      <alignment horizontal="center" vertical="center"/>
      <protection locked="0"/>
    </xf>
    <xf numFmtId="0" fontId="149" fillId="8" borderId="0" xfId="7" applyFont="1" applyFill="1" applyProtection="1">
      <protection hidden="1"/>
    </xf>
    <xf numFmtId="0" fontId="196" fillId="8" borderId="0" xfId="16" applyFont="1" applyFill="1" applyAlignment="1" applyProtection="1">
      <alignment horizontal="right" vertical="center"/>
      <protection locked="0"/>
    </xf>
    <xf numFmtId="0" fontId="198" fillId="8" borderId="0" xfId="16" applyFont="1" applyFill="1" applyAlignment="1" applyProtection="1">
      <alignment horizontal="right" vertical="center"/>
      <protection locked="0"/>
    </xf>
    <xf numFmtId="200" fontId="199" fillId="93" borderId="238" xfId="16" applyNumberFormat="1" applyFont="1" applyFill="1" applyBorder="1" applyAlignment="1" applyProtection="1">
      <alignment horizontal="center" vertical="center"/>
      <protection locked="0"/>
    </xf>
    <xf numFmtId="0" fontId="200" fillId="8" borderId="0" xfId="16" applyFont="1" applyFill="1" applyAlignment="1" applyProtection="1">
      <alignment horizontal="left" vertical="center"/>
      <protection locked="0"/>
    </xf>
    <xf numFmtId="0" fontId="200" fillId="8" borderId="0" xfId="16" applyFont="1" applyFill="1" applyAlignment="1" applyProtection="1">
      <alignment horizontal="right" vertical="center"/>
      <protection locked="0"/>
    </xf>
    <xf numFmtId="190" fontId="199" fillId="93" borderId="178" xfId="16" applyNumberFormat="1" applyFont="1" applyFill="1" applyBorder="1" applyAlignment="1" applyProtection="1">
      <alignment horizontal="center" vertical="center"/>
      <protection locked="0"/>
    </xf>
    <xf numFmtId="200" fontId="199" fillId="93" borderId="178" xfId="16" applyNumberFormat="1" applyFont="1" applyFill="1" applyBorder="1" applyAlignment="1" applyProtection="1">
      <alignment horizontal="center" vertical="center"/>
      <protection locked="0"/>
    </xf>
    <xf numFmtId="200" fontId="197" fillId="10" borderId="238" xfId="16" applyNumberFormat="1" applyFont="1" applyFill="1" applyBorder="1" applyAlignment="1" applyProtection="1">
      <alignment horizontal="center" vertical="center"/>
      <protection locked="0"/>
    </xf>
    <xf numFmtId="0" fontId="40" fillId="8" borderId="0" xfId="16" applyFont="1" applyFill="1" applyAlignment="1" applyProtection="1">
      <alignment horizontal="left" vertical="center"/>
      <protection locked="0"/>
    </xf>
    <xf numFmtId="0" fontId="40" fillId="8" borderId="0" xfId="16" applyFont="1" applyFill="1" applyAlignment="1" applyProtection="1">
      <alignment horizontal="right" vertical="center"/>
      <protection locked="0"/>
    </xf>
    <xf numFmtId="200" fontId="88" fillId="8" borderId="178" xfId="16" applyNumberFormat="1" applyFont="1" applyFill="1" applyBorder="1" applyAlignment="1" applyProtection="1">
      <alignment horizontal="center" vertical="center"/>
      <protection locked="0"/>
    </xf>
    <xf numFmtId="0" fontId="149" fillId="8" borderId="0" xfId="16" applyFont="1" applyFill="1" applyAlignment="1" applyProtection="1">
      <alignment horizontal="right" vertical="center"/>
      <protection locked="0"/>
    </xf>
    <xf numFmtId="200" fontId="88" fillId="8" borderId="238" xfId="16" applyNumberFormat="1" applyFont="1" applyFill="1" applyBorder="1" applyAlignment="1" applyProtection="1">
      <alignment horizontal="center" vertical="center"/>
      <protection locked="0"/>
    </xf>
    <xf numFmtId="0" fontId="149" fillId="8" borderId="243" xfId="16" applyFont="1" applyFill="1" applyBorder="1" applyAlignment="1" applyProtection="1">
      <alignment horizontal="left" vertical="center"/>
      <protection locked="0"/>
    </xf>
    <xf numFmtId="0" fontId="88" fillId="8" borderId="0" xfId="16" applyFont="1" applyFill="1" applyAlignment="1" applyProtection="1">
      <alignment horizontal="right" vertical="center"/>
      <protection locked="0"/>
    </xf>
    <xf numFmtId="190" fontId="88" fillId="8" borderId="178" xfId="16" applyNumberFormat="1" applyFont="1" applyFill="1" applyBorder="1" applyAlignment="1" applyProtection="1">
      <alignment horizontal="center" vertical="center"/>
      <protection locked="0"/>
    </xf>
    <xf numFmtId="190" fontId="88" fillId="8" borderId="238" xfId="16" applyNumberFormat="1" applyFont="1" applyFill="1" applyBorder="1" applyAlignment="1" applyProtection="1">
      <alignment horizontal="center" vertical="center"/>
      <protection locked="0"/>
    </xf>
    <xf numFmtId="0" fontId="149" fillId="15" borderId="247" xfId="16" applyFont="1" applyFill="1" applyBorder="1" applyAlignment="1" applyProtection="1">
      <alignment horizontal="left" vertical="center"/>
      <protection locked="0"/>
    </xf>
    <xf numFmtId="0" fontId="149" fillId="15" borderId="247" xfId="16" applyFont="1" applyFill="1" applyBorder="1" applyAlignment="1" applyProtection="1">
      <alignment horizontal="right" vertical="center"/>
      <protection locked="0"/>
    </xf>
    <xf numFmtId="200" fontId="88" fillId="15" borderId="247" xfId="16" applyNumberFormat="1" applyFont="1" applyFill="1" applyBorder="1" applyAlignment="1" applyProtection="1">
      <alignment horizontal="center" vertical="center"/>
      <protection locked="0"/>
    </xf>
    <xf numFmtId="0" fontId="149" fillId="15" borderId="247" xfId="7" applyFont="1" applyFill="1" applyBorder="1" applyProtection="1">
      <protection hidden="1"/>
    </xf>
    <xf numFmtId="0" fontId="88" fillId="15" borderId="247" xfId="16" applyFont="1" applyFill="1" applyBorder="1" applyAlignment="1" applyProtection="1">
      <alignment horizontal="right" vertical="center"/>
      <protection locked="0"/>
    </xf>
    <xf numFmtId="190" fontId="88" fillId="15" borderId="247" xfId="16" applyNumberFormat="1" applyFont="1" applyFill="1" applyBorder="1" applyAlignment="1" applyProtection="1">
      <alignment horizontal="center" vertical="center"/>
      <protection locked="0"/>
    </xf>
    <xf numFmtId="190" fontId="88" fillId="15" borderId="252" xfId="16" applyNumberFormat="1" applyFont="1" applyFill="1" applyBorder="1" applyAlignment="1" applyProtection="1">
      <alignment horizontal="center" vertical="center"/>
      <protection locked="0"/>
    </xf>
    <xf numFmtId="0" fontId="198" fillId="8" borderId="0" xfId="16" applyFont="1" applyFill="1" applyAlignment="1" applyProtection="1">
      <alignment horizontal="left" vertical="center"/>
      <protection locked="0"/>
    </xf>
    <xf numFmtId="197" fontId="201" fillId="93" borderId="178" xfId="16" applyNumberFormat="1" applyFont="1" applyFill="1" applyBorder="1" applyAlignment="1" applyProtection="1">
      <alignment horizontal="center" vertical="center"/>
      <protection locked="0"/>
    </xf>
    <xf numFmtId="0" fontId="88" fillId="8" borderId="180" xfId="16" applyFont="1" applyFill="1" applyBorder="1" applyAlignment="1" applyProtection="1">
      <alignment horizontal="left" vertical="center"/>
      <protection locked="0"/>
    </xf>
    <xf numFmtId="0" fontId="88" fillId="8" borderId="180" xfId="16" applyFont="1" applyFill="1" applyBorder="1" applyAlignment="1" applyProtection="1">
      <alignment horizontal="right" vertical="center"/>
      <protection locked="0"/>
    </xf>
    <xf numFmtId="190" fontId="88" fillId="8" borderId="181" xfId="16" applyNumberFormat="1" applyFont="1" applyFill="1" applyBorder="1" applyAlignment="1" applyProtection="1">
      <alignment horizontal="center" vertical="center"/>
      <protection locked="0"/>
    </xf>
    <xf numFmtId="0" fontId="149" fillId="8" borderId="180" xfId="16" applyFont="1" applyFill="1" applyBorder="1" applyAlignment="1" applyProtection="1">
      <alignment horizontal="right" vertical="center"/>
      <protection locked="0"/>
    </xf>
    <xf numFmtId="200" fontId="88" fillId="8" borderId="181" xfId="16" applyNumberFormat="1" applyFont="1" applyFill="1" applyBorder="1" applyAlignment="1" applyProtection="1">
      <alignment horizontal="center" vertical="center"/>
      <protection locked="0"/>
    </xf>
    <xf numFmtId="190" fontId="88" fillId="8" borderId="253" xfId="16" applyNumberFormat="1" applyFont="1" applyFill="1" applyBorder="1" applyAlignment="1" applyProtection="1">
      <alignment horizontal="center" vertical="center"/>
      <protection locked="0"/>
    </xf>
    <xf numFmtId="0" fontId="83" fillId="60" borderId="256" xfId="15" applyFont="1" applyFill="1" applyBorder="1" applyAlignment="1" applyProtection="1">
      <alignment horizontal="left" vertical="center"/>
      <protection locked="0"/>
    </xf>
    <xf numFmtId="0" fontId="83" fillId="60" borderId="257" xfId="15" applyFont="1" applyFill="1" applyBorder="1" applyAlignment="1" applyProtection="1">
      <alignment horizontal="centerContinuous" vertical="center"/>
      <protection locked="0"/>
    </xf>
    <xf numFmtId="0" fontId="83" fillId="60" borderId="258" xfId="15" applyFont="1" applyFill="1" applyBorder="1" applyAlignment="1" applyProtection="1">
      <alignment horizontal="right" vertical="center"/>
      <protection locked="0"/>
    </xf>
    <xf numFmtId="0" fontId="2" fillId="15" borderId="175" xfId="16" applyFill="1" applyBorder="1" applyAlignment="1">
      <alignment horizontal="center" vertical="center"/>
    </xf>
    <xf numFmtId="0" fontId="2" fillId="0" borderId="175" xfId="8" applyBorder="1"/>
    <xf numFmtId="0" fontId="2" fillId="8" borderId="175" xfId="8" applyFill="1" applyBorder="1"/>
    <xf numFmtId="0" fontId="150" fillId="8" borderId="175" xfId="7" applyFont="1" applyFill="1" applyBorder="1" applyAlignment="1">
      <alignment horizontal="center" vertical="center"/>
    </xf>
    <xf numFmtId="0" fontId="150" fillId="8" borderId="259" xfId="7" applyFont="1" applyFill="1" applyBorder="1" applyAlignment="1">
      <alignment horizontal="center" vertical="center"/>
    </xf>
    <xf numFmtId="0" fontId="2" fillId="15" borderId="243" xfId="16" applyFill="1" applyBorder="1" applyAlignment="1">
      <alignment horizontal="center" vertical="center"/>
    </xf>
    <xf numFmtId="0" fontId="204" fillId="94" borderId="175" xfId="16" applyFont="1" applyFill="1" applyBorder="1" applyAlignment="1" applyProtection="1">
      <alignment horizontal="right" vertical="center"/>
      <protection locked="0"/>
    </xf>
    <xf numFmtId="201" fontId="204" fillId="93" borderId="176" xfId="16" applyNumberFormat="1" applyFont="1" applyFill="1" applyBorder="1" applyAlignment="1" applyProtection="1">
      <alignment horizontal="center" vertical="center"/>
      <protection locked="0"/>
    </xf>
    <xf numFmtId="0" fontId="2" fillId="8" borderId="174" xfId="8" applyFill="1" applyBorder="1"/>
    <xf numFmtId="0" fontId="204" fillId="8" borderId="175" xfId="16" applyFont="1" applyFill="1" applyBorder="1" applyAlignment="1" applyProtection="1">
      <alignment horizontal="right" vertical="center"/>
      <protection locked="0"/>
    </xf>
    <xf numFmtId="0" fontId="150" fillId="8" borderId="174" xfId="7" applyFont="1" applyFill="1" applyBorder="1" applyAlignment="1">
      <alignment horizontal="center" vertical="center"/>
    </xf>
    <xf numFmtId="201" fontId="204" fillId="93" borderId="259" xfId="16" applyNumberFormat="1" applyFont="1" applyFill="1" applyBorder="1" applyAlignment="1" applyProtection="1">
      <alignment horizontal="center" vertical="center"/>
      <protection locked="0"/>
    </xf>
    <xf numFmtId="0" fontId="206" fillId="94" borderId="0" xfId="16" applyFont="1" applyFill="1" applyAlignment="1" applyProtection="1">
      <alignment horizontal="right" vertical="center"/>
      <protection locked="0"/>
    </xf>
    <xf numFmtId="201" fontId="206" fillId="93" borderId="178" xfId="16" applyNumberFormat="1" applyFont="1" applyFill="1" applyBorder="1" applyAlignment="1" applyProtection="1">
      <alignment horizontal="center" vertical="center"/>
      <protection locked="0"/>
    </xf>
    <xf numFmtId="0" fontId="2" fillId="8" borderId="177" xfId="8" applyFill="1" applyBorder="1"/>
    <xf numFmtId="0" fontId="206" fillId="8" borderId="0" xfId="16" applyFont="1" applyFill="1" applyAlignment="1" applyProtection="1">
      <alignment horizontal="right" vertical="center"/>
      <protection locked="0"/>
    </xf>
    <xf numFmtId="0" fontId="150" fillId="8" borderId="177" xfId="7" applyFont="1" applyFill="1" applyBorder="1" applyAlignment="1">
      <alignment horizontal="center" vertical="center"/>
    </xf>
    <xf numFmtId="197" fontId="206" fillId="93" borderId="238" xfId="16" applyNumberFormat="1" applyFont="1" applyFill="1" applyBorder="1" applyAlignment="1" applyProtection="1">
      <alignment horizontal="center" vertical="center"/>
      <protection locked="0"/>
    </xf>
    <xf numFmtId="0" fontId="40" fillId="94" borderId="0" xfId="16" applyFont="1" applyFill="1" applyAlignment="1" applyProtection="1">
      <alignment horizontal="right" vertical="center"/>
      <protection locked="0"/>
    </xf>
    <xf numFmtId="201" fontId="40" fillId="94" borderId="178" xfId="16" applyNumberFormat="1" applyFont="1" applyFill="1" applyBorder="1" applyAlignment="1" applyProtection="1">
      <alignment horizontal="center" vertical="center"/>
      <protection locked="0"/>
    </xf>
    <xf numFmtId="201" fontId="40" fillId="94" borderId="238" xfId="16" applyNumberFormat="1" applyFont="1" applyFill="1" applyBorder="1" applyAlignment="1" applyProtection="1">
      <alignment horizontal="center" vertical="center"/>
      <protection locked="0"/>
    </xf>
    <xf numFmtId="0" fontId="2" fillId="8" borderId="180" xfId="8" applyFill="1" applyBorder="1"/>
    <xf numFmtId="0" fontId="40" fillId="94" borderId="180" xfId="16" applyFont="1" applyFill="1" applyBorder="1" applyAlignment="1" applyProtection="1">
      <alignment horizontal="right" vertical="center"/>
      <protection locked="0"/>
    </xf>
    <xf numFmtId="202" fontId="40" fillId="94" borderId="181" xfId="16" applyNumberFormat="1" applyFont="1" applyFill="1" applyBorder="1" applyAlignment="1" applyProtection="1">
      <alignment horizontal="center" vertical="center"/>
      <protection locked="0"/>
    </xf>
    <xf numFmtId="0" fontId="2" fillId="8" borderId="179" xfId="8" applyFill="1" applyBorder="1"/>
    <xf numFmtId="0" fontId="150" fillId="8" borderId="179" xfId="7" applyFont="1" applyFill="1" applyBorder="1" applyAlignment="1">
      <alignment horizontal="center" vertical="center"/>
    </xf>
    <xf numFmtId="203" fontId="40" fillId="94" borderId="253" xfId="16" applyNumberFormat="1" applyFont="1" applyFill="1" applyBorder="1" applyAlignment="1" applyProtection="1">
      <alignment horizontal="center" vertical="center"/>
      <protection locked="0"/>
    </xf>
    <xf numFmtId="0" fontId="144" fillId="94" borderId="175" xfId="16" applyFont="1" applyFill="1" applyBorder="1" applyAlignment="1" applyProtection="1">
      <alignment horizontal="right" vertical="center"/>
      <protection locked="0"/>
    </xf>
    <xf numFmtId="201" fontId="144" fillId="93" borderId="176" xfId="16" applyNumberFormat="1" applyFont="1" applyFill="1" applyBorder="1" applyAlignment="1" applyProtection="1">
      <alignment horizontal="center" vertical="center"/>
      <protection locked="0"/>
    </xf>
    <xf numFmtId="201" fontId="144" fillId="93" borderId="259" xfId="16" applyNumberFormat="1" applyFont="1" applyFill="1" applyBorder="1" applyAlignment="1" applyProtection="1">
      <alignment horizontal="center" vertical="center"/>
      <protection locked="0"/>
    </xf>
    <xf numFmtId="2" fontId="88" fillId="95" borderId="260" xfId="16" applyNumberFormat="1" applyFont="1" applyFill="1" applyBorder="1" applyAlignment="1" applyProtection="1">
      <alignment horizontal="center" vertical="center" wrapText="1"/>
      <protection locked="0"/>
    </xf>
    <xf numFmtId="0" fontId="2" fillId="15" borderId="0" xfId="16" applyFill="1"/>
    <xf numFmtId="204" fontId="92" fillId="15" borderId="261" xfId="16" applyNumberFormat="1" applyFont="1" applyFill="1" applyBorder="1" applyAlignment="1">
      <alignment horizontal="center" vertical="center"/>
    </xf>
    <xf numFmtId="0" fontId="149" fillId="15" borderId="262" xfId="16" applyFont="1" applyFill="1" applyBorder="1" applyAlignment="1">
      <alignment horizontal="center" vertical="center"/>
    </xf>
    <xf numFmtId="2" fontId="92" fillId="15" borderId="263" xfId="16" applyNumberFormat="1" applyFont="1" applyFill="1" applyBorder="1" applyAlignment="1">
      <alignment horizontal="center" vertical="center"/>
    </xf>
    <xf numFmtId="0" fontId="145" fillId="94" borderId="0" xfId="16" applyFont="1" applyFill="1" applyAlignment="1" applyProtection="1">
      <alignment horizontal="right" vertical="center"/>
      <protection locked="0"/>
    </xf>
    <xf numFmtId="201" fontId="145" fillId="93" borderId="178" xfId="16" applyNumberFormat="1" applyFont="1" applyFill="1" applyBorder="1" applyAlignment="1" applyProtection="1">
      <alignment horizontal="center" vertical="center"/>
      <protection locked="0"/>
    </xf>
    <xf numFmtId="197" fontId="145" fillId="93" borderId="238" xfId="16" applyNumberFormat="1" applyFont="1" applyFill="1" applyBorder="1" applyAlignment="1" applyProtection="1">
      <alignment horizontal="center" vertical="center"/>
      <protection locked="0"/>
    </xf>
    <xf numFmtId="9" fontId="92" fillId="96" borderId="264" xfId="16" applyNumberFormat="1" applyFont="1" applyFill="1" applyBorder="1" applyAlignment="1">
      <alignment horizontal="center" vertical="center"/>
    </xf>
    <xf numFmtId="0" fontId="83" fillId="15" borderId="0" xfId="15" applyFont="1" applyFill="1" applyAlignment="1">
      <alignment horizontal="centerContinuous" vertical="center"/>
    </xf>
    <xf numFmtId="0" fontId="2" fillId="96" borderId="0" xfId="16" applyFill="1" applyAlignment="1">
      <alignment horizontal="centerContinuous" vertical="center" wrapText="1"/>
    </xf>
    <xf numFmtId="0" fontId="92" fillId="96" borderId="0" xfId="15" applyFont="1" applyFill="1" applyAlignment="1">
      <alignment horizontal="right" vertical="center"/>
    </xf>
    <xf numFmtId="175" fontId="196" fillId="10" borderId="265" xfId="15" applyNumberFormat="1" applyFont="1" applyFill="1" applyBorder="1" applyAlignment="1">
      <alignment horizontal="center" vertical="center"/>
    </xf>
    <xf numFmtId="9" fontId="207" fillId="96" borderId="264" xfId="16" applyNumberFormat="1" applyFont="1" applyFill="1" applyBorder="1" applyAlignment="1">
      <alignment horizontal="center" vertical="center"/>
    </xf>
    <xf numFmtId="181" fontId="149" fillId="97" borderId="238" xfId="16" applyNumberFormat="1" applyFont="1" applyFill="1" applyBorder="1" applyAlignment="1">
      <alignment horizontal="centerContinuous" vertical="center" wrapText="1"/>
    </xf>
    <xf numFmtId="202" fontId="198" fillId="93" borderId="264" xfId="16" applyNumberFormat="1" applyFont="1" applyFill="1" applyBorder="1" applyAlignment="1">
      <alignment horizontal="center" vertical="center"/>
    </xf>
    <xf numFmtId="0" fontId="206" fillId="93" borderId="0" xfId="15" applyFont="1" applyFill="1" applyAlignment="1">
      <alignment horizontal="left" vertical="center"/>
    </xf>
    <xf numFmtId="196" fontId="83" fillId="15" borderId="266" xfId="16" applyNumberFormat="1" applyFont="1" applyFill="1" applyBorder="1" applyAlignment="1" applyProtection="1">
      <alignment horizontal="center" vertical="center"/>
      <protection locked="0"/>
    </xf>
    <xf numFmtId="197" fontId="193" fillId="10" borderId="0" xfId="16" applyNumberFormat="1" applyFont="1" applyFill="1" applyAlignment="1" applyProtection="1">
      <alignment horizontal="center" vertical="center"/>
      <protection locked="0"/>
    </xf>
    <xf numFmtId="196" fontId="83" fillId="15" borderId="238" xfId="16" applyNumberFormat="1" applyFont="1" applyFill="1" applyBorder="1" applyAlignment="1" applyProtection="1">
      <alignment horizontal="center" vertical="center"/>
      <protection locked="0"/>
    </xf>
    <xf numFmtId="201" fontId="40" fillId="94" borderId="253" xfId="16" applyNumberFormat="1" applyFont="1" applyFill="1" applyBorder="1" applyAlignment="1" applyProtection="1">
      <alignment horizontal="center" vertical="center"/>
      <protection locked="0"/>
    </xf>
    <xf numFmtId="196" fontId="83" fillId="15" borderId="0" xfId="16" applyNumberFormat="1" applyFont="1" applyFill="1" applyAlignment="1" applyProtection="1">
      <alignment horizontal="center" vertical="center"/>
      <protection locked="0"/>
    </xf>
    <xf numFmtId="197" fontId="193" fillId="93" borderId="0" xfId="16" applyNumberFormat="1" applyFont="1" applyFill="1" applyAlignment="1" applyProtection="1">
      <alignment horizontal="center" vertical="center"/>
      <protection locked="0"/>
    </xf>
    <xf numFmtId="0" fontId="138" fillId="8" borderId="243" xfId="9" applyFill="1" applyBorder="1" applyAlignment="1">
      <alignment vertical="center"/>
    </xf>
    <xf numFmtId="0" fontId="29" fillId="8" borderId="243" xfId="4" applyFont="1" applyFill="1" applyBorder="1" applyAlignment="1">
      <alignment horizontal="center" vertical="center"/>
    </xf>
    <xf numFmtId="0" fontId="2" fillId="0" borderId="243" xfId="8" applyBorder="1"/>
    <xf numFmtId="0" fontId="2" fillId="0" borderId="244" xfId="8" applyBorder="1"/>
    <xf numFmtId="0" fontId="88" fillId="8" borderId="243" xfId="7" applyFont="1" applyFill="1" applyBorder="1" applyAlignment="1" applyProtection="1">
      <alignment horizontal="center" vertical="center"/>
      <protection hidden="1"/>
    </xf>
    <xf numFmtId="0" fontId="86" fillId="8" borderId="243" xfId="16" applyFont="1" applyFill="1" applyBorder="1" applyAlignment="1">
      <alignment horizontal="center"/>
    </xf>
    <xf numFmtId="0" fontId="86" fillId="8" borderId="0" xfId="16" applyFont="1" applyFill="1" applyAlignment="1">
      <alignment horizontal="left"/>
    </xf>
    <xf numFmtId="205" fontId="167" fillId="8" borderId="0" xfId="7" applyNumberFormat="1" applyFont="1" applyFill="1" applyAlignment="1" applyProtection="1">
      <alignment horizontal="center" vertical="center"/>
      <protection hidden="1"/>
    </xf>
    <xf numFmtId="177" fontId="182" fillId="8" borderId="0" xfId="7" applyNumberFormat="1" applyFont="1" applyFill="1" applyAlignment="1" applyProtection="1">
      <alignment horizontal="center" vertical="center"/>
      <protection hidden="1"/>
    </xf>
    <xf numFmtId="175" fontId="88" fillId="9" borderId="238" xfId="4" applyNumberFormat="1" applyFont="1" applyFill="1" applyBorder="1" applyAlignment="1">
      <alignment horizontal="center" vertical="center"/>
    </xf>
    <xf numFmtId="202" fontId="198" fillId="93" borderId="267" xfId="16" applyNumberFormat="1" applyFont="1" applyFill="1" applyBorder="1" applyAlignment="1">
      <alignment horizontal="center" vertical="center"/>
    </xf>
    <xf numFmtId="0" fontId="206" fillId="93" borderId="180" xfId="15" applyFont="1" applyFill="1" applyBorder="1" applyAlignment="1">
      <alignment horizontal="left" vertical="center"/>
    </xf>
    <xf numFmtId="196" fontId="83" fillId="15" borderId="180" xfId="16" applyNumberFormat="1" applyFont="1" applyFill="1" applyBorder="1" applyAlignment="1" applyProtection="1">
      <alignment horizontal="center" vertical="center"/>
      <protection locked="0"/>
    </xf>
    <xf numFmtId="197" fontId="193" fillId="93" borderId="180" xfId="16" applyNumberFormat="1" applyFont="1" applyFill="1" applyBorder="1" applyAlignment="1" applyProtection="1">
      <alignment horizontal="center" vertical="center"/>
      <protection locked="0"/>
    </xf>
    <xf numFmtId="196" fontId="83" fillId="15" borderId="253" xfId="16" applyNumberFormat="1" applyFont="1" applyFill="1" applyBorder="1" applyAlignment="1" applyProtection="1">
      <alignment horizontal="center" vertical="center"/>
      <protection locked="0"/>
    </xf>
    <xf numFmtId="0" fontId="40" fillId="8" borderId="0" xfId="7" applyFont="1" applyFill="1" applyAlignment="1">
      <alignment horizontal="left" vertical="center"/>
    </xf>
    <xf numFmtId="0" fontId="2" fillId="8" borderId="0" xfId="16" applyFill="1"/>
    <xf numFmtId="0" fontId="85" fillId="8" borderId="0" xfId="16" applyFont="1" applyFill="1"/>
    <xf numFmtId="0" fontId="208" fillId="8" borderId="0" xfId="7" applyFont="1" applyFill="1" applyAlignment="1">
      <alignment horizontal="center" vertical="center" wrapText="1"/>
    </xf>
    <xf numFmtId="0" fontId="208" fillId="8" borderId="238" xfId="7" applyFont="1" applyFill="1" applyBorder="1" applyAlignment="1">
      <alignment horizontal="center" vertical="center" wrapText="1"/>
    </xf>
    <xf numFmtId="0" fontId="150" fillId="60" borderId="178" xfId="7" applyFont="1" applyFill="1" applyBorder="1" applyAlignment="1">
      <alignment horizontal="center" vertical="center"/>
    </xf>
    <xf numFmtId="0" fontId="150" fillId="15" borderId="268" xfId="7" applyFont="1" applyFill="1" applyBorder="1" applyAlignment="1">
      <alignment horizontal="center" vertical="center"/>
    </xf>
    <xf numFmtId="0" fontId="83" fillId="98" borderId="178" xfId="7" applyFont="1" applyFill="1" applyBorder="1" applyAlignment="1" applyProtection="1">
      <alignment horizontal="center" vertical="center"/>
      <protection locked="0"/>
    </xf>
    <xf numFmtId="0" fontId="84" fillId="66" borderId="181" xfId="7" applyFont="1" applyFill="1" applyBorder="1" applyAlignment="1">
      <alignment horizontal="center" vertical="center"/>
    </xf>
    <xf numFmtId="0" fontId="210" fillId="8" borderId="0" xfId="0" applyFont="1" applyFill="1" applyAlignment="1">
      <alignment vertical="center"/>
    </xf>
    <xf numFmtId="0" fontId="212" fillId="8" borderId="0" xfId="1" applyFont="1" applyFill="1" applyAlignment="1" applyProtection="1">
      <alignment horizontal="left" vertical="center"/>
      <protection hidden="1"/>
    </xf>
    <xf numFmtId="0" fontId="212" fillId="8" borderId="0" xfId="1" applyFont="1" applyFill="1" applyAlignment="1" applyProtection="1">
      <alignment vertical="center"/>
      <protection hidden="1"/>
    </xf>
    <xf numFmtId="0" fontId="212" fillId="8" borderId="0" xfId="3" applyFont="1" applyFill="1" applyAlignment="1">
      <alignment horizontal="left" vertical="center"/>
    </xf>
    <xf numFmtId="0" fontId="195" fillId="8" borderId="0" xfId="17" applyFont="1" applyFill="1" applyAlignment="1">
      <alignment horizontal="left" vertical="center"/>
    </xf>
    <xf numFmtId="0" fontId="6" fillId="99" borderId="1" xfId="0" applyFont="1" applyFill="1" applyBorder="1" applyAlignment="1">
      <alignment horizontal="center" vertical="center" wrapText="1"/>
    </xf>
    <xf numFmtId="0" fontId="25" fillId="8" borderId="0" xfId="18" applyFont="1" applyFill="1" applyAlignment="1">
      <alignment vertical="center"/>
    </xf>
    <xf numFmtId="0" fontId="25" fillId="8" borderId="0" xfId="18" applyFont="1" applyFill="1" applyAlignment="1">
      <alignment horizontal="right" vertical="center"/>
    </xf>
    <xf numFmtId="0" fontId="1" fillId="8" borderId="0" xfId="19" applyFill="1"/>
    <xf numFmtId="0" fontId="1" fillId="0" borderId="0" xfId="19"/>
    <xf numFmtId="0" fontId="141" fillId="8" borderId="0" xfId="19" applyFont="1" applyFill="1"/>
    <xf numFmtId="0" fontId="1" fillId="8" borderId="0" xfId="19" applyFill="1" applyAlignment="1">
      <alignment horizontal="right" vertical="center"/>
    </xf>
    <xf numFmtId="0" fontId="85" fillId="8" borderId="0" xfId="19" applyFont="1" applyFill="1"/>
    <xf numFmtId="0" fontId="213" fillId="8" borderId="0" xfId="19" applyFont="1" applyFill="1"/>
    <xf numFmtId="0" fontId="97" fillId="52" borderId="0" xfId="0" applyFont="1" applyFill="1" applyAlignment="1">
      <alignment horizontal="center" vertical="center" wrapText="1"/>
    </xf>
    <xf numFmtId="0" fontId="214" fillId="100" borderId="0" xfId="18" applyFont="1" applyFill="1" applyAlignment="1">
      <alignment horizontal="center" vertical="center" wrapText="1"/>
    </xf>
    <xf numFmtId="0" fontId="7" fillId="0" borderId="0" xfId="18" applyFont="1" applyAlignment="1">
      <alignment vertical="center" wrapText="1"/>
    </xf>
    <xf numFmtId="0" fontId="21" fillId="0" borderId="0" xfId="18" applyFont="1" applyAlignment="1">
      <alignment vertical="center"/>
    </xf>
    <xf numFmtId="0" fontId="81" fillId="0" borderId="0" xfId="0" applyFont="1"/>
    <xf numFmtId="0" fontId="216" fillId="60" borderId="0" xfId="2" applyFont="1" applyFill="1" applyAlignment="1">
      <alignment horizontal="center" vertical="center"/>
    </xf>
    <xf numFmtId="0" fontId="7" fillId="0" borderId="0" xfId="18" applyFont="1" applyAlignment="1">
      <alignment vertical="center"/>
    </xf>
    <xf numFmtId="0" fontId="124" fillId="0" borderId="233" xfId="2" applyFont="1" applyBorder="1" applyAlignment="1">
      <alignment horizontal="center" vertical="center"/>
    </xf>
    <xf numFmtId="0" fontId="124" fillId="0" borderId="0" xfId="2" applyFont="1" applyAlignment="1">
      <alignment horizontal="center" vertical="center"/>
    </xf>
    <xf numFmtId="0" fontId="95" fillId="52" borderId="18" xfId="2" applyFont="1" applyFill="1" applyBorder="1" applyAlignment="1">
      <alignment horizontal="center" vertical="center"/>
    </xf>
    <xf numFmtId="0" fontId="95" fillId="52" borderId="20" xfId="2" applyFont="1" applyFill="1" applyBorder="1" applyAlignment="1">
      <alignment horizontal="center" vertical="center"/>
    </xf>
    <xf numFmtId="0" fontId="95" fillId="52" borderId="19" xfId="2" applyFont="1" applyFill="1" applyBorder="1" applyAlignment="1">
      <alignment horizontal="center" vertical="center"/>
    </xf>
    <xf numFmtId="0" fontId="95" fillId="54" borderId="18" xfId="0" applyFont="1" applyFill="1" applyBorder="1" applyAlignment="1">
      <alignment horizontal="center" vertical="center"/>
    </xf>
    <xf numFmtId="0" fontId="95" fillId="54" borderId="20" xfId="0" applyFont="1" applyFill="1" applyBorder="1" applyAlignment="1">
      <alignment horizontal="center" vertical="center"/>
    </xf>
    <xf numFmtId="0" fontId="95" fillId="54" borderId="19" xfId="0" applyFont="1" applyFill="1" applyBorder="1" applyAlignment="1">
      <alignment horizontal="center" vertical="center"/>
    </xf>
    <xf numFmtId="0" fontId="14" fillId="50" borderId="0" xfId="0" applyFont="1" applyFill="1" applyAlignment="1">
      <alignment horizontal="left" vertical="center" wrapText="1"/>
    </xf>
    <xf numFmtId="0" fontId="14" fillId="8" borderId="0" xfId="0" applyFont="1" applyFill="1" applyAlignment="1">
      <alignment horizontal="left" vertical="center" wrapText="1"/>
    </xf>
    <xf numFmtId="0" fontId="95" fillId="49" borderId="18" xfId="0" applyFont="1" applyFill="1" applyBorder="1" applyAlignment="1">
      <alignment horizontal="center" vertical="center"/>
    </xf>
    <xf numFmtId="0" fontId="95" fillId="49" borderId="20" xfId="0" applyFont="1" applyFill="1" applyBorder="1" applyAlignment="1">
      <alignment horizontal="center" vertical="center"/>
    </xf>
    <xf numFmtId="0" fontId="95" fillId="49" borderId="19" xfId="0" applyFont="1" applyFill="1" applyBorder="1" applyAlignment="1">
      <alignment horizontal="center" vertical="center"/>
    </xf>
    <xf numFmtId="0" fontId="24" fillId="54" borderId="18" xfId="0" applyFont="1" applyFill="1" applyBorder="1" applyAlignment="1">
      <alignment horizontal="center" vertical="center"/>
    </xf>
    <xf numFmtId="0" fontId="24" fillId="54" borderId="20" xfId="0" applyFont="1" applyFill="1" applyBorder="1" applyAlignment="1">
      <alignment horizontal="center" vertical="center"/>
    </xf>
    <xf numFmtId="0" fontId="24" fillId="54" borderId="19" xfId="0" applyFont="1" applyFill="1" applyBorder="1" applyAlignment="1">
      <alignment horizontal="center" vertical="center"/>
    </xf>
    <xf numFmtId="0" fontId="97" fillId="49" borderId="0" xfId="0" applyFont="1" applyFill="1" applyAlignment="1">
      <alignment horizontal="center" vertical="center"/>
    </xf>
    <xf numFmtId="0" fontId="64" fillId="13" borderId="157" xfId="2" applyFont="1" applyFill="1" applyBorder="1" applyAlignment="1">
      <alignment horizontal="left" vertical="center" wrapText="1"/>
    </xf>
    <xf numFmtId="0" fontId="64" fillId="13" borderId="158" xfId="2" applyFont="1" applyFill="1" applyBorder="1" applyAlignment="1">
      <alignment horizontal="left" vertical="center" wrapText="1"/>
    </xf>
    <xf numFmtId="0" fontId="73" fillId="37" borderId="163" xfId="2" applyFont="1" applyFill="1" applyBorder="1" applyAlignment="1">
      <alignment horizontal="left" vertical="center" wrapText="1"/>
    </xf>
    <xf numFmtId="0" fontId="73" fillId="37" borderId="164" xfId="2" applyFont="1" applyFill="1" applyBorder="1" applyAlignment="1">
      <alignment horizontal="left" vertical="center" wrapText="1"/>
    </xf>
    <xf numFmtId="0" fontId="104" fillId="52" borderId="128" xfId="2" applyFont="1" applyFill="1" applyBorder="1" applyAlignment="1">
      <alignment horizontal="center" vertical="center"/>
    </xf>
    <xf numFmtId="0" fontId="104" fillId="52" borderId="129" xfId="2" applyFont="1" applyFill="1" applyBorder="1" applyAlignment="1">
      <alignment horizontal="center" vertical="center"/>
    </xf>
    <xf numFmtId="0" fontId="61" fillId="46" borderId="0" xfId="2" applyFont="1" applyFill="1" applyAlignment="1">
      <alignment horizontal="center" vertical="center"/>
    </xf>
    <xf numFmtId="0" fontId="62" fillId="47" borderId="0" xfId="2" applyFont="1" applyFill="1" applyAlignment="1">
      <alignment horizontal="center" vertical="center"/>
    </xf>
    <xf numFmtId="0" fontId="63" fillId="33" borderId="0" xfId="2" applyFont="1" applyFill="1" applyAlignment="1">
      <alignment horizontal="center" vertical="center"/>
    </xf>
    <xf numFmtId="0" fontId="52" fillId="25" borderId="123" xfId="2" applyFont="1" applyFill="1" applyBorder="1" applyAlignment="1">
      <alignment horizontal="left" vertical="center"/>
    </xf>
    <xf numFmtId="0" fontId="52" fillId="25" borderId="122" xfId="2" applyFont="1" applyFill="1" applyBorder="1" applyAlignment="1">
      <alignment horizontal="left" vertical="center"/>
    </xf>
    <xf numFmtId="0" fontId="52" fillId="25" borderId="123" xfId="2" applyFont="1" applyFill="1" applyBorder="1" applyAlignment="1">
      <alignment horizontal="left" vertical="center" wrapText="1"/>
    </xf>
    <xf numFmtId="0" fontId="52" fillId="25" borderId="122" xfId="2" applyFont="1" applyFill="1" applyBorder="1" applyAlignment="1">
      <alignment horizontal="left" vertical="center" wrapText="1"/>
    </xf>
    <xf numFmtId="0" fontId="52" fillId="25" borderId="118" xfId="2" applyFont="1" applyFill="1" applyBorder="1" applyAlignment="1">
      <alignment horizontal="left" vertical="center" wrapText="1"/>
    </xf>
    <xf numFmtId="0" fontId="52" fillId="25" borderId="117" xfId="2" applyFont="1" applyFill="1" applyBorder="1" applyAlignment="1">
      <alignment horizontal="left" vertical="center" wrapText="1"/>
    </xf>
    <xf numFmtId="0" fontId="69" fillId="47" borderId="0" xfId="2" applyFont="1" applyFill="1" applyAlignment="1">
      <alignment horizontal="left" vertical="center"/>
    </xf>
    <xf numFmtId="0" fontId="70" fillId="36" borderId="0" xfId="2" applyFont="1" applyFill="1" applyAlignment="1">
      <alignment horizontal="left" vertical="center" wrapText="1"/>
    </xf>
    <xf numFmtId="0" fontId="97" fillId="52" borderId="0" xfId="0" applyFont="1" applyFill="1" applyAlignment="1">
      <alignment horizontal="center" vertical="center" wrapText="1"/>
    </xf>
    <xf numFmtId="0" fontId="114" fillId="43" borderId="206" xfId="2" applyFont="1" applyFill="1" applyBorder="1" applyAlignment="1">
      <alignment horizontal="left" vertical="top" wrapText="1"/>
    </xf>
    <xf numFmtId="0" fontId="114" fillId="43" borderId="207" xfId="2" applyFont="1" applyFill="1" applyBorder="1" applyAlignment="1">
      <alignment horizontal="left" vertical="top" wrapText="1"/>
    </xf>
    <xf numFmtId="0" fontId="97" fillId="52" borderId="22" xfId="2" applyFont="1" applyFill="1" applyBorder="1" applyAlignment="1">
      <alignment horizontal="center" vertical="center"/>
    </xf>
    <xf numFmtId="0" fontId="97" fillId="52" borderId="23" xfId="2" applyFont="1" applyFill="1" applyBorder="1" applyAlignment="1">
      <alignment horizontal="center" vertical="center"/>
    </xf>
    <xf numFmtId="0" fontId="102" fillId="52" borderId="127" xfId="2" applyFont="1" applyFill="1" applyBorder="1" applyAlignment="1">
      <alignment horizontal="center" vertical="center"/>
    </xf>
    <xf numFmtId="0" fontId="102" fillId="52" borderId="126" xfId="2" applyFont="1" applyFill="1" applyBorder="1" applyAlignment="1">
      <alignment horizontal="center" vertical="center"/>
    </xf>
    <xf numFmtId="0" fontId="102" fillId="52" borderId="125" xfId="2" applyFont="1" applyFill="1" applyBorder="1" applyAlignment="1">
      <alignment horizontal="center" vertical="center"/>
    </xf>
    <xf numFmtId="0" fontId="103" fillId="52" borderId="118" xfId="2" applyFont="1" applyFill="1" applyBorder="1" applyAlignment="1">
      <alignment horizontal="center" vertical="center"/>
    </xf>
    <xf numFmtId="0" fontId="83" fillId="44" borderId="0" xfId="2" applyFont="1" applyFill="1" applyAlignment="1">
      <alignment horizontal="center" vertical="center"/>
    </xf>
    <xf numFmtId="0" fontId="111" fillId="11" borderId="0" xfId="2" applyFont="1" applyFill="1" applyAlignment="1">
      <alignment horizontal="left" vertical="center" wrapText="1"/>
    </xf>
    <xf numFmtId="0" fontId="111" fillId="11" borderId="190" xfId="2" applyFont="1" applyFill="1" applyBorder="1" applyAlignment="1">
      <alignment horizontal="left" vertical="center" wrapText="1"/>
    </xf>
    <xf numFmtId="0" fontId="111" fillId="55" borderId="191" xfId="2" applyFont="1" applyFill="1" applyBorder="1" applyAlignment="1">
      <alignment horizontal="left" vertical="center" wrapText="1"/>
    </xf>
    <xf numFmtId="0" fontId="111" fillId="55" borderId="0" xfId="2" applyFont="1" applyFill="1" applyAlignment="1">
      <alignment horizontal="left" vertical="center" wrapText="1"/>
    </xf>
    <xf numFmtId="0" fontId="119" fillId="13" borderId="211" xfId="2" applyFont="1" applyFill="1" applyBorder="1" applyAlignment="1">
      <alignment horizontal="left" vertical="center" wrapText="1"/>
    </xf>
    <xf numFmtId="0" fontId="119" fillId="13" borderId="212" xfId="2" applyFont="1" applyFill="1" applyBorder="1" applyAlignment="1">
      <alignment horizontal="left" vertical="center" wrapText="1"/>
    </xf>
    <xf numFmtId="0" fontId="113" fillId="2" borderId="203" xfId="2" applyFont="1" applyFill="1" applyBorder="1" applyAlignment="1">
      <alignment horizontal="left" vertical="top" wrapText="1"/>
    </xf>
    <xf numFmtId="0" fontId="113" fillId="2" borderId="204" xfId="2" applyFont="1" applyFill="1" applyBorder="1" applyAlignment="1">
      <alignment horizontal="left" vertical="top" wrapText="1"/>
    </xf>
    <xf numFmtId="0" fontId="113" fillId="2" borderId="205" xfId="2" applyFont="1" applyFill="1" applyBorder="1" applyAlignment="1">
      <alignment horizontal="left" vertical="top" wrapText="1"/>
    </xf>
    <xf numFmtId="0" fontId="0" fillId="9" borderId="171" xfId="0" applyFill="1" applyBorder="1" applyAlignment="1">
      <alignment horizontal="left" vertical="center" wrapText="1"/>
    </xf>
    <xf numFmtId="0" fontId="0" fillId="9" borderId="172" xfId="0" applyFill="1" applyBorder="1" applyAlignment="1">
      <alignment horizontal="left" vertical="center" wrapText="1"/>
    </xf>
    <xf numFmtId="0" fontId="0" fillId="9" borderId="169" xfId="0" applyFill="1" applyBorder="1" applyAlignment="1">
      <alignment horizontal="left" vertical="top" wrapText="1"/>
    </xf>
    <xf numFmtId="0" fontId="0" fillId="9" borderId="173" xfId="0" applyFill="1" applyBorder="1" applyAlignment="1">
      <alignment horizontal="left" vertical="top" wrapText="1"/>
    </xf>
    <xf numFmtId="0" fontId="0" fillId="9" borderId="170" xfId="0" applyFill="1" applyBorder="1" applyAlignment="1">
      <alignment horizontal="left" vertical="center" wrapText="1"/>
    </xf>
    <xf numFmtId="0" fontId="32" fillId="20" borderId="39" xfId="2" applyFont="1" applyFill="1" applyBorder="1" applyAlignment="1">
      <alignment horizontal="left" vertical="center" wrapText="1"/>
    </xf>
    <xf numFmtId="0" fontId="32" fillId="20" borderId="40" xfId="2" applyFont="1" applyFill="1" applyBorder="1" applyAlignment="1">
      <alignment horizontal="left" vertical="center" wrapText="1"/>
    </xf>
    <xf numFmtId="0" fontId="32" fillId="20" borderId="41" xfId="2" applyFont="1" applyFill="1" applyBorder="1" applyAlignment="1">
      <alignment horizontal="left" vertical="center" wrapText="1"/>
    </xf>
    <xf numFmtId="0" fontId="32" fillId="20" borderId="42" xfId="2" applyFont="1" applyFill="1" applyBorder="1" applyAlignment="1">
      <alignment horizontal="left" vertical="center" wrapText="1"/>
    </xf>
    <xf numFmtId="0" fontId="32" fillId="20" borderId="43" xfId="2" applyFont="1" applyFill="1" applyBorder="1" applyAlignment="1">
      <alignment horizontal="left" vertical="center" wrapText="1"/>
    </xf>
    <xf numFmtId="0" fontId="32" fillId="20" borderId="80" xfId="2" applyFont="1" applyFill="1" applyBorder="1" applyAlignment="1">
      <alignment horizontal="left" vertical="center" wrapText="1"/>
    </xf>
    <xf numFmtId="0" fontId="32" fillId="20" borderId="81" xfId="2" applyFont="1" applyFill="1" applyBorder="1" applyAlignment="1">
      <alignment horizontal="left" vertical="center" wrapText="1"/>
    </xf>
    <xf numFmtId="0" fontId="32" fillId="20" borderId="82" xfId="2" applyFont="1" applyFill="1" applyBorder="1" applyAlignment="1">
      <alignment horizontal="left" vertical="center" wrapText="1"/>
    </xf>
    <xf numFmtId="0" fontId="32" fillId="20" borderId="83" xfId="2" applyFont="1" applyFill="1" applyBorder="1" applyAlignment="1">
      <alignment horizontal="left" vertical="center" wrapText="1"/>
    </xf>
    <xf numFmtId="0" fontId="32" fillId="20" borderId="84" xfId="2" applyFont="1" applyFill="1" applyBorder="1" applyAlignment="1">
      <alignment horizontal="left" vertical="center" wrapText="1"/>
    </xf>
    <xf numFmtId="0" fontId="42" fillId="23" borderId="93" xfId="2" applyFont="1" applyFill="1" applyBorder="1" applyAlignment="1">
      <alignment horizontal="left" vertical="center" wrapText="1"/>
    </xf>
    <xf numFmtId="0" fontId="42" fillId="23" borderId="92" xfId="2" applyFont="1" applyFill="1" applyBorder="1" applyAlignment="1">
      <alignment horizontal="left" vertical="center" wrapText="1"/>
    </xf>
    <xf numFmtId="0" fontId="45" fillId="0" borderId="109" xfId="2" applyFont="1" applyBorder="1" applyAlignment="1">
      <alignment horizontal="right" vertical="center" wrapText="1"/>
    </xf>
    <xf numFmtId="0" fontId="45" fillId="0" borderId="0" xfId="2" applyFont="1" applyAlignment="1">
      <alignment horizontal="right" vertical="center" wrapText="1"/>
    </xf>
    <xf numFmtId="0" fontId="45" fillId="0" borderId="103" xfId="2" applyFont="1" applyBorder="1" applyAlignment="1">
      <alignment horizontal="right" vertical="center" wrapText="1"/>
    </xf>
    <xf numFmtId="0" fontId="44" fillId="0" borderId="108" xfId="2" applyFont="1" applyBorder="1" applyAlignment="1">
      <alignment horizontal="left" vertical="center" wrapText="1"/>
    </xf>
    <xf numFmtId="0" fontId="44" fillId="0" borderId="107" xfId="2" applyFont="1" applyBorder="1" applyAlignment="1">
      <alignment horizontal="left" vertical="center" wrapText="1"/>
    </xf>
    <xf numFmtId="0" fontId="44" fillId="0" borderId="106" xfId="2" applyFont="1" applyBorder="1" applyAlignment="1">
      <alignment horizontal="left" vertical="center" wrapText="1"/>
    </xf>
    <xf numFmtId="0" fontId="44" fillId="0" borderId="105" xfId="2" applyFont="1" applyBorder="1" applyAlignment="1">
      <alignment horizontal="left" vertical="center" wrapText="1"/>
    </xf>
    <xf numFmtId="0" fontId="44" fillId="0" borderId="0" xfId="2" applyFont="1" applyAlignment="1">
      <alignment horizontal="left" vertical="center" wrapText="1"/>
    </xf>
    <xf numFmtId="0" fontId="44" fillId="0" borderId="104" xfId="2" applyFont="1" applyBorder="1" applyAlignment="1">
      <alignment horizontal="left" vertical="center" wrapText="1"/>
    </xf>
    <xf numFmtId="0" fontId="44" fillId="0" borderId="102" xfId="2" applyFont="1" applyBorder="1" applyAlignment="1">
      <alignment horizontal="left" vertical="center" wrapText="1"/>
    </xf>
    <xf numFmtId="0" fontId="44" fillId="0" borderId="101" xfId="2" applyFont="1" applyBorder="1" applyAlignment="1">
      <alignment horizontal="left" vertical="center" wrapText="1"/>
    </xf>
    <xf numFmtId="0" fontId="44" fillId="0" borderId="100" xfId="2" applyFont="1" applyBorder="1" applyAlignment="1">
      <alignment horizontal="left" vertical="center" wrapText="1"/>
    </xf>
    <xf numFmtId="0" fontId="42" fillId="23" borderId="0" xfId="2" applyFont="1" applyFill="1" applyAlignment="1">
      <alignment horizontal="left" vertical="center" wrapText="1"/>
    </xf>
    <xf numFmtId="0" fontId="42" fillId="23" borderId="98" xfId="2" applyFont="1" applyFill="1" applyBorder="1" applyAlignment="1">
      <alignment horizontal="left" vertical="center" wrapText="1"/>
    </xf>
    <xf numFmtId="0" fontId="42" fillId="23" borderId="96" xfId="2" applyFont="1" applyFill="1" applyBorder="1" applyAlignment="1">
      <alignment horizontal="left" vertical="center" wrapText="1"/>
    </xf>
    <xf numFmtId="0" fontId="42" fillId="23" borderId="95" xfId="2" applyFont="1" applyFill="1" applyBorder="1" applyAlignment="1">
      <alignment horizontal="left" vertical="center" wrapText="1"/>
    </xf>
    <xf numFmtId="0" fontId="52" fillId="25" borderId="128" xfId="2" applyFont="1" applyFill="1" applyBorder="1" applyAlignment="1">
      <alignment horizontal="right" vertical="center" wrapText="1"/>
    </xf>
    <xf numFmtId="0" fontId="52" fillId="25" borderId="129" xfId="2" applyFont="1" applyFill="1" applyBorder="1" applyAlignment="1">
      <alignment horizontal="right" vertical="center" wrapText="1"/>
    </xf>
    <xf numFmtId="0" fontId="48" fillId="25" borderId="129" xfId="2" applyFont="1" applyFill="1" applyBorder="1" applyAlignment="1">
      <alignment horizontal="left" vertical="center" wrapText="1"/>
    </xf>
    <xf numFmtId="0" fontId="48" fillId="25" borderId="130" xfId="2" applyFont="1" applyFill="1" applyBorder="1" applyAlignment="1">
      <alignment horizontal="left" vertical="center" wrapText="1"/>
    </xf>
    <xf numFmtId="0" fontId="64" fillId="13" borderId="153" xfId="2" applyFont="1" applyFill="1" applyBorder="1" applyAlignment="1">
      <alignment horizontal="left" vertical="center" wrapText="1"/>
    </xf>
    <xf numFmtId="0" fontId="64" fillId="13" borderId="154" xfId="2" applyFont="1" applyFill="1" applyBorder="1" applyAlignment="1">
      <alignment horizontal="left" vertical="center" wrapText="1"/>
    </xf>
    <xf numFmtId="0" fontId="64" fillId="13" borderId="155" xfId="2" applyFont="1" applyFill="1" applyBorder="1" applyAlignment="1">
      <alignment horizontal="left" vertical="center" wrapText="1"/>
    </xf>
    <xf numFmtId="0" fontId="66" fillId="13" borderId="141" xfId="2" applyFont="1" applyFill="1" applyBorder="1" applyAlignment="1">
      <alignment horizontal="left" vertical="center" wrapText="1"/>
    </xf>
    <xf numFmtId="0" fontId="66" fillId="13" borderId="142" xfId="2" applyFont="1" applyFill="1" applyBorder="1" applyAlignment="1">
      <alignment horizontal="left" vertical="center" wrapText="1"/>
    </xf>
    <xf numFmtId="0" fontId="67" fillId="32" borderId="148" xfId="2" applyFont="1" applyFill="1" applyBorder="1" applyAlignment="1">
      <alignment vertical="center"/>
    </xf>
    <xf numFmtId="0" fontId="67" fillId="32" borderId="149" xfId="2" applyFont="1" applyFill="1" applyBorder="1" applyAlignment="1">
      <alignment vertical="center"/>
    </xf>
    <xf numFmtId="0" fontId="67" fillId="32" borderId="150" xfId="2" applyFont="1" applyFill="1" applyBorder="1" applyAlignment="1">
      <alignment vertical="center"/>
    </xf>
    <xf numFmtId="0" fontId="64" fillId="13" borderId="151" xfId="2" applyFont="1" applyFill="1" applyBorder="1" applyAlignment="1">
      <alignment horizontal="left" vertical="center" wrapText="1"/>
    </xf>
    <xf numFmtId="0" fontId="64" fillId="13" borderId="0" xfId="2" applyFont="1" applyFill="1" applyAlignment="1">
      <alignment horizontal="left" vertical="center" wrapText="1"/>
    </xf>
    <xf numFmtId="0" fontId="64" fillId="13" borderId="152" xfId="2" applyFont="1" applyFill="1" applyBorder="1" applyAlignment="1">
      <alignment horizontal="left" vertical="center" wrapText="1"/>
    </xf>
    <xf numFmtId="0" fontId="63" fillId="33" borderId="151" xfId="2" applyFont="1" applyFill="1" applyBorder="1" applyAlignment="1">
      <alignment vertical="center"/>
    </xf>
    <xf numFmtId="0" fontId="63" fillId="33" borderId="0" xfId="2" applyFont="1" applyFill="1" applyAlignment="1">
      <alignment vertical="center"/>
    </xf>
    <xf numFmtId="0" fontId="63" fillId="33" borderId="152" xfId="2" applyFont="1" applyFill="1" applyBorder="1" applyAlignment="1">
      <alignment vertical="center"/>
    </xf>
    <xf numFmtId="0" fontId="68" fillId="35" borderId="151" xfId="2" applyFont="1" applyFill="1" applyBorder="1" applyAlignment="1">
      <alignment vertical="center"/>
    </xf>
    <xf numFmtId="0" fontId="68" fillId="35" borderId="0" xfId="2" applyFont="1" applyFill="1" applyAlignment="1">
      <alignment vertical="center"/>
    </xf>
    <xf numFmtId="0" fontId="68" fillId="35" borderId="152" xfId="2" applyFont="1" applyFill="1" applyBorder="1" applyAlignment="1">
      <alignment vertical="center"/>
    </xf>
    <xf numFmtId="0" fontId="15" fillId="8" borderId="0" xfId="0" applyFont="1" applyFill="1" applyAlignment="1">
      <alignment horizontal="left" vertical="center" wrapText="1"/>
    </xf>
    <xf numFmtId="0" fontId="98" fillId="2" borderId="18" xfId="2" applyFont="1" applyFill="1" applyBorder="1" applyAlignment="1">
      <alignment horizontal="left" vertical="center" wrapText="1"/>
    </xf>
    <xf numFmtId="0" fontId="98" fillId="2" borderId="20" xfId="2" applyFont="1" applyFill="1" applyBorder="1" applyAlignment="1">
      <alignment horizontal="left" vertical="center" wrapText="1"/>
    </xf>
    <xf numFmtId="0" fontId="98" fillId="2" borderId="19" xfId="2" applyFont="1" applyFill="1" applyBorder="1" applyAlignment="1">
      <alignment horizontal="left" vertical="center" wrapText="1"/>
    </xf>
    <xf numFmtId="0" fontId="98" fillId="2" borderId="21" xfId="2" applyFont="1" applyFill="1" applyBorder="1" applyAlignment="1">
      <alignment horizontal="left" vertical="center" wrapText="1"/>
    </xf>
    <xf numFmtId="0" fontId="98" fillId="2" borderId="0" xfId="2" applyFont="1" applyFill="1" applyAlignment="1">
      <alignment horizontal="left" vertical="center" wrapText="1"/>
    </xf>
    <xf numFmtId="0" fontId="14" fillId="15" borderId="0" xfId="0" applyFont="1" applyFill="1" applyAlignment="1">
      <alignment horizontal="center" vertical="center"/>
    </xf>
    <xf numFmtId="0" fontId="17" fillId="9" borderId="0" xfId="0" applyFont="1" applyFill="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215" fillId="0" borderId="0" xfId="0" applyFont="1" applyAlignment="1">
      <alignment horizontal="center" vertical="center" wrapText="1"/>
    </xf>
    <xf numFmtId="183" fontId="145" fillId="10" borderId="0" xfId="7" applyNumberFormat="1" applyFont="1" applyFill="1" applyAlignment="1" applyProtection="1">
      <alignment horizontal="center" vertical="center"/>
      <protection hidden="1"/>
    </xf>
    <xf numFmtId="186" fontId="83" fillId="15" borderId="0" xfId="7" applyNumberFormat="1" applyFont="1" applyFill="1" applyAlignment="1" applyProtection="1">
      <alignment horizontal="center" vertical="center"/>
      <protection hidden="1"/>
    </xf>
    <xf numFmtId="0" fontId="203" fillId="60" borderId="234" xfId="15" applyFont="1" applyFill="1" applyBorder="1" applyAlignment="1" applyProtection="1">
      <alignment horizontal="right" vertical="center"/>
      <protection locked="0"/>
    </xf>
    <xf numFmtId="0" fontId="203" fillId="60" borderId="236" xfId="15" applyFont="1" applyFill="1" applyBorder="1" applyAlignment="1" applyProtection="1">
      <alignment horizontal="right" vertical="center"/>
      <protection locked="0"/>
    </xf>
    <xf numFmtId="0" fontId="167" fillId="41" borderId="237" xfId="7" applyFont="1" applyFill="1" applyBorder="1" applyAlignment="1">
      <alignment horizontal="center"/>
    </xf>
    <xf numFmtId="0" fontId="167" fillId="41" borderId="239" xfId="7" applyFont="1" applyFill="1" applyBorder="1" applyAlignment="1">
      <alignment horizontal="center"/>
    </xf>
    <xf numFmtId="0" fontId="153" fillId="8" borderId="245" xfId="16" applyFont="1" applyFill="1" applyBorder="1" applyAlignment="1">
      <alignment horizontal="center" vertical="center"/>
    </xf>
    <xf numFmtId="0" fontId="153" fillId="8" borderId="243" xfId="16" applyFont="1" applyFill="1" applyBorder="1" applyAlignment="1">
      <alignment horizontal="center" vertical="center"/>
    </xf>
    <xf numFmtId="0" fontId="205" fillId="10" borderId="245" xfId="16" applyFont="1" applyFill="1" applyBorder="1" applyAlignment="1">
      <alignment horizontal="center" vertical="center"/>
    </xf>
    <xf numFmtId="0" fontId="205" fillId="10" borderId="246" xfId="16" applyFont="1" applyFill="1" applyBorder="1" applyAlignment="1">
      <alignment horizontal="center" vertical="center"/>
    </xf>
    <xf numFmtId="0" fontId="205" fillId="10" borderId="243" xfId="16" applyFont="1" applyFill="1" applyBorder="1" applyAlignment="1">
      <alignment horizontal="center" vertical="center"/>
    </xf>
    <xf numFmtId="0" fontId="205" fillId="10" borderId="244" xfId="16" applyFont="1" applyFill="1" applyBorder="1" applyAlignment="1">
      <alignment horizontal="center" vertical="center"/>
    </xf>
    <xf numFmtId="0" fontId="2" fillId="0" borderId="245" xfId="16" applyBorder="1" applyAlignment="1">
      <alignment horizontal="center" vertical="center"/>
    </xf>
    <xf numFmtId="0" fontId="2" fillId="0" borderId="243" xfId="16" applyBorder="1" applyAlignment="1">
      <alignment horizontal="center" vertical="center"/>
    </xf>
    <xf numFmtId="202" fontId="83" fillId="8" borderId="245" xfId="15" applyNumberFormat="1" applyFont="1" applyFill="1" applyBorder="1" applyAlignment="1">
      <alignment horizontal="left" vertical="center"/>
    </xf>
    <xf numFmtId="202" fontId="83" fillId="8" borderId="0" xfId="15" applyNumberFormat="1" applyFont="1" applyFill="1" applyAlignment="1">
      <alignment horizontal="left" vertical="center"/>
    </xf>
    <xf numFmtId="0" fontId="90" fillId="8" borderId="245" xfId="15" applyFont="1" applyFill="1" applyBorder="1" applyAlignment="1">
      <alignment horizontal="right" vertical="center"/>
    </xf>
    <xf numFmtId="0" fontId="90" fillId="8" borderId="243" xfId="15" applyFont="1" applyFill="1" applyBorder="1" applyAlignment="1">
      <alignment horizontal="right" vertical="center"/>
    </xf>
    <xf numFmtId="9" fontId="90" fillId="8" borderId="246" xfId="16" applyNumberFormat="1" applyFont="1" applyFill="1" applyBorder="1" applyAlignment="1">
      <alignment horizontal="center" vertical="center"/>
    </xf>
    <xf numFmtId="9" fontId="90" fillId="8" borderId="244" xfId="16" applyNumberFormat="1" applyFont="1" applyFill="1" applyBorder="1" applyAlignment="1">
      <alignment horizontal="center" vertical="center"/>
    </xf>
    <xf numFmtId="0" fontId="202" fillId="10" borderId="175" xfId="16" applyFont="1" applyFill="1" applyBorder="1" applyAlignment="1">
      <alignment horizontal="center" vertical="center"/>
    </xf>
    <xf numFmtId="0" fontId="202" fillId="10" borderId="259" xfId="16" applyFont="1" applyFill="1" applyBorder="1" applyAlignment="1">
      <alignment horizontal="center" vertical="center"/>
    </xf>
    <xf numFmtId="0" fontId="208" fillId="8" borderId="175" xfId="7" applyFont="1" applyFill="1" applyBorder="1" applyAlignment="1">
      <alignment horizontal="center" vertical="center" wrapText="1"/>
    </xf>
    <xf numFmtId="0" fontId="208" fillId="8" borderId="259" xfId="7" applyFont="1" applyFill="1" applyBorder="1" applyAlignment="1">
      <alignment horizontal="center" vertical="center" wrapText="1"/>
    </xf>
    <xf numFmtId="0" fontId="209" fillId="8" borderId="175" xfId="7" applyFont="1" applyFill="1" applyBorder="1" applyAlignment="1">
      <alignment horizontal="center" vertical="center" wrapText="1"/>
    </xf>
    <xf numFmtId="0" fontId="209" fillId="8" borderId="176" xfId="7" applyFont="1" applyFill="1" applyBorder="1" applyAlignment="1">
      <alignment horizontal="center" vertical="center" wrapText="1"/>
    </xf>
    <xf numFmtId="49" fontId="105" fillId="65" borderId="234" xfId="7" applyNumberFormat="1" applyFont="1" applyFill="1" applyBorder="1" applyAlignment="1">
      <alignment horizontal="center" vertical="center"/>
    </xf>
    <xf numFmtId="49" fontId="105" fillId="65" borderId="236" xfId="7" applyNumberFormat="1" applyFont="1" applyFill="1" applyBorder="1" applyAlignment="1">
      <alignment horizontal="center" vertical="center"/>
    </xf>
    <xf numFmtId="0" fontId="167" fillId="41" borderId="237" xfId="7" applyFont="1" applyFill="1" applyBorder="1" applyAlignment="1">
      <alignment horizontal="center" wrapText="1"/>
    </xf>
    <xf numFmtId="0" fontId="167" fillId="41" borderId="239" xfId="7" applyFont="1" applyFill="1" applyBorder="1" applyAlignment="1">
      <alignment horizontal="center" wrapText="1"/>
    </xf>
    <xf numFmtId="0" fontId="88" fillId="8" borderId="243" xfId="7" applyFont="1" applyFill="1" applyBorder="1" applyAlignment="1" applyProtection="1">
      <alignment horizontal="center" vertical="center"/>
      <protection hidden="1"/>
    </xf>
    <xf numFmtId="0" fontId="182" fillId="8" borderId="243" xfId="7" applyFont="1" applyFill="1" applyBorder="1" applyAlignment="1" applyProtection="1">
      <alignment horizontal="center" vertical="center"/>
      <protection hidden="1"/>
    </xf>
    <xf numFmtId="0" fontId="182" fillId="8" borderId="244" xfId="7" applyFont="1" applyFill="1" applyBorder="1" applyAlignment="1" applyProtection="1">
      <alignment horizontal="center" vertical="center"/>
      <protection hidden="1"/>
    </xf>
    <xf numFmtId="0" fontId="167" fillId="88" borderId="237" xfId="7" applyFont="1" applyFill="1" applyBorder="1" applyAlignment="1">
      <alignment horizontal="center"/>
    </xf>
    <xf numFmtId="0" fontId="167" fillId="88" borderId="239" xfId="7" applyFont="1" applyFill="1" applyBorder="1" applyAlignment="1">
      <alignment horizontal="center"/>
    </xf>
    <xf numFmtId="0" fontId="123" fillId="77" borderId="0" xfId="8" applyFont="1" applyFill="1" applyAlignment="1">
      <alignment horizontal="center" vertical="center"/>
    </xf>
    <xf numFmtId="0" fontId="123" fillId="77" borderId="238" xfId="8" applyFont="1" applyFill="1" applyBorder="1" applyAlignment="1">
      <alignment horizontal="center" vertical="center"/>
    </xf>
    <xf numFmtId="0" fontId="40" fillId="8" borderId="0" xfId="7" applyFont="1" applyFill="1" applyAlignment="1">
      <alignment horizontal="left" vertical="center" wrapText="1"/>
    </xf>
    <xf numFmtId="0" fontId="40" fillId="8" borderId="238" xfId="7" applyFont="1" applyFill="1" applyBorder="1" applyAlignment="1">
      <alignment horizontal="left" vertical="center" wrapText="1"/>
    </xf>
    <xf numFmtId="0" fontId="83" fillId="88" borderId="245" xfId="8" applyFont="1" applyFill="1" applyBorder="1" applyAlignment="1">
      <alignment horizontal="center" vertical="center"/>
    </xf>
    <xf numFmtId="0" fontId="83" fillId="88" borderId="246" xfId="8" applyFont="1" applyFill="1" applyBorder="1" applyAlignment="1">
      <alignment horizontal="center" vertical="center"/>
    </xf>
    <xf numFmtId="0" fontId="202" fillId="10" borderId="254" xfId="16" applyFont="1" applyFill="1" applyBorder="1" applyAlignment="1">
      <alignment horizontal="center" vertical="center"/>
    </xf>
    <xf numFmtId="0" fontId="202" fillId="10" borderId="255" xfId="16" applyFont="1" applyFill="1" applyBorder="1" applyAlignment="1">
      <alignment horizontal="center" vertical="center"/>
    </xf>
    <xf numFmtId="0" fontId="93" fillId="65" borderId="235" xfId="7" applyFont="1" applyFill="1" applyBorder="1" applyAlignment="1">
      <alignment horizontal="center" vertical="center"/>
    </xf>
    <xf numFmtId="0" fontId="93" fillId="65" borderId="237" xfId="7" applyFont="1" applyFill="1" applyBorder="1" applyAlignment="1">
      <alignment horizontal="center" vertical="center"/>
    </xf>
    <xf numFmtId="0" fontId="141" fillId="88" borderId="234" xfId="6" applyFont="1" applyFill="1" applyBorder="1" applyAlignment="1">
      <alignment horizontal="center" vertical="center"/>
    </xf>
    <xf numFmtId="0" fontId="167" fillId="76" borderId="237" xfId="7" applyFont="1" applyFill="1" applyBorder="1" applyAlignment="1">
      <alignment horizontal="center"/>
    </xf>
    <xf numFmtId="0" fontId="167" fillId="76" borderId="239" xfId="7" applyFont="1" applyFill="1" applyBorder="1" applyAlignment="1">
      <alignment horizontal="center"/>
    </xf>
    <xf numFmtId="0" fontId="171" fillId="10" borderId="0" xfId="14" applyFont="1" applyFill="1" applyAlignment="1" applyProtection="1">
      <alignment horizontal="center" vertical="center"/>
      <protection locked="0"/>
    </xf>
    <xf numFmtId="0" fontId="171" fillId="10" borderId="238" xfId="14" applyFont="1" applyFill="1" applyBorder="1" applyAlignment="1" applyProtection="1">
      <alignment horizontal="center" vertical="center"/>
      <protection locked="0"/>
    </xf>
    <xf numFmtId="0" fontId="83" fillId="76" borderId="245" xfId="8" applyFont="1" applyFill="1" applyBorder="1" applyAlignment="1">
      <alignment horizontal="center" vertical="center"/>
    </xf>
    <xf numFmtId="0" fontId="83" fillId="76" borderId="246" xfId="8" applyFont="1" applyFill="1" applyBorder="1" applyAlignment="1">
      <alignment horizontal="center" vertical="center"/>
    </xf>
    <xf numFmtId="0" fontId="29" fillId="84" borderId="234" xfId="6" applyFont="1" applyFill="1" applyBorder="1" applyAlignment="1">
      <alignment horizontal="center" vertical="center"/>
    </xf>
    <xf numFmtId="0" fontId="142" fillId="84" borderId="237" xfId="7" applyFont="1" applyFill="1" applyBorder="1" applyAlignment="1">
      <alignment horizontal="center"/>
    </xf>
    <xf numFmtId="0" fontId="142" fillId="84" borderId="239" xfId="7" applyFont="1" applyFill="1" applyBorder="1" applyAlignment="1">
      <alignment horizontal="center"/>
    </xf>
    <xf numFmtId="0" fontId="187" fillId="85" borderId="0" xfId="8" applyFont="1" applyFill="1" applyAlignment="1">
      <alignment horizontal="center" vertical="center"/>
    </xf>
    <xf numFmtId="0" fontId="187" fillId="85" borderId="238" xfId="8" applyFont="1" applyFill="1" applyBorder="1" applyAlignment="1">
      <alignment horizontal="center" vertical="center"/>
    </xf>
    <xf numFmtId="0" fontId="105" fillId="87" borderId="245" xfId="8" applyFont="1" applyFill="1" applyBorder="1" applyAlignment="1">
      <alignment horizontal="center" vertical="center"/>
    </xf>
    <xf numFmtId="0" fontId="105" fillId="87" borderId="246" xfId="8" applyFont="1" applyFill="1" applyBorder="1" applyAlignment="1">
      <alignment horizontal="center" vertical="center"/>
    </xf>
    <xf numFmtId="0" fontId="141" fillId="76" borderId="234" xfId="6" applyFont="1" applyFill="1" applyBorder="1" applyAlignment="1">
      <alignment horizontal="center" vertical="center"/>
    </xf>
    <xf numFmtId="0" fontId="2" fillId="8" borderId="0" xfId="3" applyFont="1" applyFill="1" applyAlignment="1">
      <alignment horizontal="center" vertical="top" wrapText="1"/>
    </xf>
    <xf numFmtId="0" fontId="2" fillId="8" borderId="238" xfId="3" applyFont="1" applyFill="1" applyBorder="1" applyAlignment="1">
      <alignment horizontal="center" vertical="top" wrapText="1"/>
    </xf>
    <xf numFmtId="0" fontId="27" fillId="8" borderId="0" xfId="3" applyFill="1" applyAlignment="1">
      <alignment horizontal="left" vertical="center" wrapText="1"/>
    </xf>
    <xf numFmtId="0" fontId="27" fillId="8" borderId="238" xfId="3" applyFill="1" applyBorder="1" applyAlignment="1">
      <alignment horizontal="left" vertical="center" wrapText="1"/>
    </xf>
    <xf numFmtId="0" fontId="94" fillId="60" borderId="234" xfId="8" applyFont="1" applyFill="1" applyBorder="1" applyAlignment="1">
      <alignment horizontal="center" vertical="center"/>
    </xf>
    <xf numFmtId="0" fontId="94" fillId="60" borderId="236" xfId="8" applyFont="1" applyFill="1" applyBorder="1" applyAlignment="1">
      <alignment horizontal="center" vertical="center"/>
    </xf>
    <xf numFmtId="0" fontId="27" fillId="8" borderId="0" xfId="3" applyFill="1" applyAlignment="1">
      <alignment horizontal="left" wrapText="1"/>
    </xf>
    <xf numFmtId="0" fontId="27" fillId="8" borderId="238" xfId="3" applyFill="1" applyBorder="1" applyAlignment="1">
      <alignment horizontal="left" wrapText="1"/>
    </xf>
    <xf numFmtId="0" fontId="2" fillId="60" borderId="237" xfId="8" applyFill="1" applyBorder="1" applyAlignment="1">
      <alignment horizontal="center"/>
    </xf>
    <xf numFmtId="0" fontId="2" fillId="60" borderId="239" xfId="8" applyFill="1" applyBorder="1" applyAlignment="1">
      <alignment horizontal="center"/>
    </xf>
    <xf numFmtId="0" fontId="2" fillId="0" borderId="0" xfId="8" applyAlignment="1">
      <alignment horizontal="center" wrapText="1"/>
    </xf>
    <xf numFmtId="0" fontId="2" fillId="0" borderId="238" xfId="8" applyBorder="1" applyAlignment="1">
      <alignment horizontal="center" wrapText="1"/>
    </xf>
    <xf numFmtId="0" fontId="155" fillId="0" borderId="0" xfId="10" applyFont="1" applyBorder="1" applyAlignment="1">
      <alignment horizontal="left" vertical="center"/>
    </xf>
    <xf numFmtId="0" fontId="158" fillId="42" borderId="0" xfId="3" applyFont="1" applyFill="1" applyAlignment="1">
      <alignment horizontal="center" vertical="center"/>
    </xf>
    <xf numFmtId="0" fontId="159" fillId="40" borderId="0" xfId="8" applyFont="1" applyFill="1" applyAlignment="1">
      <alignment horizontal="center" vertical="center"/>
    </xf>
    <xf numFmtId="0" fontId="164" fillId="10" borderId="0" xfId="8" applyFont="1" applyFill="1" applyAlignment="1">
      <alignment horizontal="center" vertical="center"/>
    </xf>
    <xf numFmtId="171" fontId="134" fillId="8" borderId="0" xfId="8" applyNumberFormat="1" applyFont="1" applyFill="1" applyAlignment="1">
      <alignment horizontal="center" vertical="center"/>
    </xf>
    <xf numFmtId="0" fontId="141" fillId="60" borderId="234" xfId="3" applyFont="1" applyFill="1" applyBorder="1" applyAlignment="1">
      <alignment horizontal="center" vertical="center"/>
    </xf>
    <xf numFmtId="0" fontId="141" fillId="60" borderId="236" xfId="3" applyFont="1" applyFill="1" applyBorder="1" applyAlignment="1">
      <alignment horizontal="center" vertical="center"/>
    </xf>
    <xf numFmtId="0" fontId="142" fillId="60" borderId="237" xfId="7" applyFont="1" applyFill="1" applyBorder="1" applyAlignment="1">
      <alignment horizontal="center" vertical="center" textRotation="90"/>
    </xf>
    <xf numFmtId="0" fontId="142" fillId="60" borderId="239" xfId="7" applyFont="1" applyFill="1" applyBorder="1" applyAlignment="1">
      <alignment horizontal="center" vertical="center" textRotation="90"/>
    </xf>
    <xf numFmtId="0" fontId="2" fillId="8" borderId="0" xfId="3" applyFont="1" applyFill="1" applyAlignment="1">
      <alignment horizontal="left" vertical="center" wrapText="1"/>
    </xf>
    <xf numFmtId="0" fontId="2" fillId="8" borderId="238" xfId="3" applyFont="1" applyFill="1" applyBorder="1" applyAlignment="1">
      <alignment horizontal="left" vertical="center" wrapText="1"/>
    </xf>
    <xf numFmtId="0" fontId="27" fillId="8" borderId="0" xfId="3" applyFill="1" applyAlignment="1">
      <alignment horizontal="left" vertical="top" wrapText="1"/>
    </xf>
    <xf numFmtId="0" fontId="27" fillId="8" borderId="238" xfId="3" applyFill="1" applyBorder="1" applyAlignment="1">
      <alignment horizontal="left" vertical="top" wrapText="1"/>
    </xf>
    <xf numFmtId="0" fontId="2" fillId="8" borderId="0" xfId="3" applyFont="1" applyFill="1" applyAlignment="1">
      <alignment horizontal="left" vertical="top" wrapText="1"/>
    </xf>
    <xf numFmtId="0" fontId="2" fillId="8" borderId="238" xfId="3" applyFont="1" applyFill="1" applyBorder="1" applyAlignment="1">
      <alignment horizontal="left" vertical="top" wrapText="1"/>
    </xf>
    <xf numFmtId="0" fontId="27" fillId="8" borderId="0" xfId="3" applyFill="1" applyAlignment="1">
      <alignment horizontal="center" vertical="top" wrapText="1"/>
    </xf>
    <xf numFmtId="0" fontId="27" fillId="8" borderId="238" xfId="3" applyFill="1" applyBorder="1" applyAlignment="1">
      <alignment horizontal="center" vertical="top" wrapText="1"/>
    </xf>
    <xf numFmtId="0" fontId="13" fillId="0" borderId="0" xfId="2" applyAlignment="1">
      <alignment horizontal="center" vertical="center"/>
    </xf>
    <xf numFmtId="0" fontId="7" fillId="0" borderId="0" xfId="2" applyFont="1" applyAlignment="1">
      <alignment vertical="center" wrapText="1"/>
    </xf>
    <xf numFmtId="0" fontId="7" fillId="0" borderId="0" xfId="2" applyFont="1" applyAlignment="1">
      <alignment horizontal="center" vertical="center" wrapText="1"/>
    </xf>
    <xf numFmtId="0" fontId="7" fillId="0" borderId="0" xfId="2" applyFont="1" applyAlignment="1">
      <alignment vertical="center"/>
    </xf>
    <xf numFmtId="0" fontId="217" fillId="102" borderId="0" xfId="2" applyFont="1" applyFill="1" applyAlignment="1">
      <alignment horizontal="center" vertical="center" wrapText="1"/>
    </xf>
    <xf numFmtId="0" fontId="218" fillId="103" borderId="0" xfId="2" applyFont="1" applyFill="1" applyAlignment="1">
      <alignment horizontal="centerContinuous" vertical="center"/>
    </xf>
    <xf numFmtId="0" fontId="7" fillId="0" borderId="0" xfId="2" applyFont="1" applyAlignment="1">
      <alignment horizontal="left" vertical="center"/>
    </xf>
    <xf numFmtId="0" fontId="21" fillId="0" borderId="0" xfId="2" applyFont="1" applyAlignment="1">
      <alignment horizontal="center" vertical="center" wrapText="1"/>
    </xf>
    <xf numFmtId="0" fontId="7" fillId="0" borderId="0" xfId="2" applyFont="1" applyAlignment="1">
      <alignment horizontal="center" vertical="center"/>
    </xf>
    <xf numFmtId="0" fontId="7" fillId="4" borderId="0" xfId="2" applyFont="1" applyFill="1" applyAlignment="1">
      <alignment vertical="center" wrapText="1"/>
    </xf>
    <xf numFmtId="0" fontId="21" fillId="0" borderId="0" xfId="2" applyFont="1" applyAlignment="1">
      <alignment horizontal="center" vertical="center"/>
    </xf>
    <xf numFmtId="0" fontId="7" fillId="4" borderId="0" xfId="2" applyFont="1" applyFill="1" applyAlignment="1">
      <alignment horizontal="center" vertical="center" wrapText="1"/>
    </xf>
    <xf numFmtId="0" fontId="7" fillId="0" borderId="0" xfId="2" applyFont="1" applyAlignment="1">
      <alignment horizontal="right" vertical="center" wrapText="1"/>
    </xf>
    <xf numFmtId="0" fontId="7" fillId="101" borderId="0" xfId="2" applyFont="1" applyFill="1" applyAlignment="1">
      <alignment horizontal="left" vertical="center" wrapText="1"/>
    </xf>
    <xf numFmtId="0" fontId="7" fillId="101" borderId="0" xfId="2" applyFont="1" applyFill="1" applyAlignment="1">
      <alignment horizontal="right" vertical="center"/>
    </xf>
    <xf numFmtId="0" fontId="219" fillId="101" borderId="0" xfId="2" applyFont="1" applyFill="1" applyAlignment="1">
      <alignment horizontal="center" vertical="center" wrapText="1"/>
    </xf>
    <xf numFmtId="0" fontId="214" fillId="104" borderId="0" xfId="2" applyFont="1" applyFill="1" applyAlignment="1">
      <alignment horizontal="center" vertical="center"/>
    </xf>
    <xf numFmtId="0" fontId="220" fillId="105" borderId="77" xfId="2" applyFont="1" applyFill="1" applyBorder="1" applyAlignment="1">
      <alignment horizontal="center" vertical="center"/>
    </xf>
    <xf numFmtId="0" fontId="220" fillId="105" borderId="76" xfId="2" applyFont="1" applyFill="1" applyBorder="1" applyAlignment="1">
      <alignment horizontal="center" vertical="center"/>
    </xf>
    <xf numFmtId="0" fontId="220" fillId="105" borderId="76" xfId="2" applyFont="1" applyFill="1" applyBorder="1" applyAlignment="1">
      <alignment vertical="center"/>
    </xf>
    <xf numFmtId="0" fontId="220" fillId="105" borderId="75" xfId="2" applyFont="1" applyFill="1" applyBorder="1" applyAlignment="1">
      <alignment vertical="center"/>
    </xf>
    <xf numFmtId="0" fontId="221" fillId="0" borderId="0" xfId="2" applyFont="1" applyAlignment="1">
      <alignment vertical="center"/>
    </xf>
    <xf numFmtId="0" fontId="222" fillId="18" borderId="183" xfId="2" applyFont="1" applyFill="1" applyBorder="1" applyAlignment="1">
      <alignment horizontal="center" vertical="center"/>
    </xf>
    <xf numFmtId="0" fontId="222" fillId="18" borderId="184" xfId="2" applyFont="1" applyFill="1" applyBorder="1" applyAlignment="1">
      <alignment horizontal="center" vertical="center"/>
    </xf>
    <xf numFmtId="0" fontId="25" fillId="20" borderId="0" xfId="18" applyFont="1" applyFill="1" applyAlignment="1">
      <alignment vertical="center"/>
    </xf>
    <xf numFmtId="0" fontId="223" fillId="18" borderId="74" xfId="2" applyFont="1" applyFill="1" applyBorder="1" applyAlignment="1">
      <alignment vertical="center" wrapText="1"/>
    </xf>
    <xf numFmtId="0" fontId="223" fillId="18" borderId="73" xfId="2" applyFont="1" applyFill="1" applyBorder="1" applyAlignment="1">
      <alignment vertical="center" wrapText="1"/>
    </xf>
    <xf numFmtId="0" fontId="224" fillId="18" borderId="72" xfId="2" applyFont="1" applyFill="1" applyBorder="1" applyAlignment="1">
      <alignment horizontal="center" vertical="center"/>
    </xf>
    <xf numFmtId="0" fontId="224" fillId="18" borderId="71" xfId="2" applyFont="1" applyFill="1" applyBorder="1" applyAlignment="1">
      <alignment horizontal="center" vertical="center"/>
    </xf>
    <xf numFmtId="0" fontId="223" fillId="18" borderId="71" xfId="2" applyFont="1" applyFill="1" applyBorder="1" applyAlignment="1">
      <alignment vertical="center" wrapText="1"/>
    </xf>
    <xf numFmtId="0" fontId="223" fillId="18" borderId="70" xfId="2" applyFont="1" applyFill="1" applyBorder="1" applyAlignment="1">
      <alignment vertical="center" wrapText="1"/>
    </xf>
    <xf numFmtId="0" fontId="12" fillId="20" borderId="0" xfId="20" applyFont="1" applyFill="1" applyAlignment="1">
      <alignment vertical="center"/>
    </xf>
    <xf numFmtId="0" fontId="225" fillId="20" borderId="0" xfId="2" applyFont="1" applyFill="1" applyAlignment="1">
      <alignment vertical="center" wrapText="1"/>
    </xf>
    <xf numFmtId="0" fontId="225" fillId="0" borderId="0" xfId="2" applyFont="1" applyAlignment="1">
      <alignment vertical="center" wrapText="1"/>
    </xf>
    <xf numFmtId="0" fontId="226" fillId="34" borderId="11" xfId="2" applyFont="1" applyFill="1" applyBorder="1" applyAlignment="1">
      <alignment horizontal="center" vertical="center" wrapText="1"/>
    </xf>
    <xf numFmtId="0" fontId="226" fillId="34" borderId="11" xfId="2" applyFont="1" applyFill="1" applyBorder="1" applyAlignment="1">
      <alignment horizontal="left" vertical="center"/>
    </xf>
    <xf numFmtId="3" fontId="18" fillId="2" borderId="25" xfId="2" applyNumberFormat="1" applyFont="1" applyFill="1" applyBorder="1" applyAlignment="1">
      <alignment horizontal="left" vertical="center"/>
    </xf>
    <xf numFmtId="0" fontId="227" fillId="0" borderId="49" xfId="2" applyFont="1" applyBorder="1" applyAlignment="1">
      <alignment horizontal="right" vertical="center" wrapText="1"/>
    </xf>
    <xf numFmtId="3" fontId="228" fillId="2" borderId="48" xfId="2" applyNumberFormat="1" applyFont="1" applyFill="1" applyBorder="1" applyAlignment="1">
      <alignment horizontal="center" vertical="center" wrapText="1"/>
    </xf>
    <xf numFmtId="0" fontId="227" fillId="20" borderId="48" xfId="2" applyFont="1" applyFill="1" applyBorder="1" applyAlignment="1">
      <alignment vertical="center"/>
    </xf>
    <xf numFmtId="0" fontId="225" fillId="20" borderId="48" xfId="2" applyFont="1" applyFill="1" applyBorder="1" applyAlignment="1">
      <alignment vertical="center" wrapText="1"/>
    </xf>
    <xf numFmtId="168" fontId="227" fillId="20" borderId="48" xfId="2" applyNumberFormat="1" applyFont="1" applyFill="1" applyBorder="1" applyAlignment="1">
      <alignment horizontal="left" vertical="center"/>
    </xf>
    <xf numFmtId="0" fontId="221" fillId="20" borderId="48" xfId="2" applyFont="1" applyFill="1" applyBorder="1" applyAlignment="1">
      <alignment vertical="center"/>
    </xf>
    <xf numFmtId="3" fontId="229" fillId="0" borderId="48" xfId="2" applyNumberFormat="1" applyFont="1" applyBorder="1" applyAlignment="1">
      <alignment horizontal="center" vertical="center" wrapText="1"/>
    </xf>
    <xf numFmtId="0" fontId="227" fillId="20" borderId="48" xfId="2" applyFont="1" applyFill="1" applyBorder="1" applyAlignment="1">
      <alignment horizontal="left" vertical="center"/>
    </xf>
    <xf numFmtId="0" fontId="225" fillId="20" borderId="47" xfId="2" applyFont="1" applyFill="1" applyBorder="1" applyAlignment="1">
      <alignment vertical="center" wrapText="1"/>
    </xf>
    <xf numFmtId="0" fontId="229" fillId="0" borderId="48" xfId="2" applyFont="1" applyBorder="1" applyAlignment="1">
      <alignment horizontal="center" vertical="center" wrapText="1"/>
    </xf>
    <xf numFmtId="0" fontId="229" fillId="32" borderId="48" xfId="2" applyFont="1" applyFill="1" applyBorder="1" applyAlignment="1">
      <alignment horizontal="center" vertical="center" wrapText="1"/>
    </xf>
    <xf numFmtId="9" fontId="228" fillId="2" borderId="48" xfId="2" applyNumberFormat="1" applyFont="1" applyFill="1" applyBorder="1" applyAlignment="1">
      <alignment horizontal="center" vertical="center" wrapText="1"/>
    </xf>
    <xf numFmtId="0" fontId="228" fillId="2" borderId="48" xfId="2" applyFont="1" applyFill="1" applyBorder="1" applyAlignment="1">
      <alignment horizontal="center" vertical="center" wrapText="1"/>
    </xf>
    <xf numFmtId="0" fontId="227" fillId="20" borderId="0" xfId="2" applyFont="1" applyFill="1" applyAlignment="1">
      <alignment vertical="center" wrapText="1"/>
    </xf>
    <xf numFmtId="0" fontId="230" fillId="22" borderId="0" xfId="1" applyFont="1" applyFill="1" applyAlignment="1">
      <alignment horizontal="center" vertical="center"/>
    </xf>
    <xf numFmtId="0" fontId="226" fillId="34" borderId="59" xfId="2" applyFont="1" applyFill="1" applyBorder="1" applyAlignment="1">
      <alignment horizontal="left" vertical="center"/>
    </xf>
    <xf numFmtId="0" fontId="226" fillId="34" borderId="58" xfId="2" applyFont="1" applyFill="1" applyBorder="1" applyAlignment="1">
      <alignment horizontal="left" vertical="center"/>
    </xf>
    <xf numFmtId="0" fontId="226" fillId="34" borderId="57" xfId="2" applyFont="1" applyFill="1" applyBorder="1" applyAlignment="1">
      <alignment horizontal="left" vertical="center"/>
    </xf>
    <xf numFmtId="0" fontId="229" fillId="20" borderId="69" xfId="2" applyFont="1" applyFill="1" applyBorder="1" applyAlignment="1">
      <alignment horizontal="center" vertical="center" wrapText="1"/>
    </xf>
    <xf numFmtId="0" fontId="227" fillId="20" borderId="51" xfId="2" applyFont="1" applyFill="1" applyBorder="1" applyAlignment="1">
      <alignment horizontal="left" vertical="center" wrapText="1"/>
    </xf>
    <xf numFmtId="0" fontId="227" fillId="20" borderId="68" xfId="2" applyFont="1" applyFill="1" applyBorder="1" applyAlignment="1">
      <alignment horizontal="left" vertical="center" wrapText="1"/>
    </xf>
    <xf numFmtId="0" fontId="229" fillId="20" borderId="49" xfId="2" applyFont="1" applyFill="1" applyBorder="1" applyAlignment="1">
      <alignment horizontal="center" vertical="center" wrapText="1"/>
    </xf>
    <xf numFmtId="0" fontId="227" fillId="20" borderId="48" xfId="2" applyFont="1" applyFill="1" applyBorder="1" applyAlignment="1">
      <alignment horizontal="left" vertical="center" wrapText="1"/>
    </xf>
    <xf numFmtId="0" fontId="227" fillId="20" borderId="47" xfId="2" applyFont="1" applyFill="1" applyBorder="1" applyAlignment="1">
      <alignment horizontal="left" vertical="center" wrapText="1"/>
    </xf>
    <xf numFmtId="0" fontId="226" fillId="34" borderId="67" xfId="2" applyFont="1" applyFill="1" applyBorder="1" applyAlignment="1">
      <alignment horizontal="center" vertical="center" wrapText="1"/>
    </xf>
    <xf numFmtId="0" fontId="229" fillId="0" borderId="33" xfId="2" applyFont="1" applyBorder="1" applyAlignment="1">
      <alignment horizontal="right" vertical="center" wrapText="1"/>
    </xf>
    <xf numFmtId="0" fontId="228" fillId="2" borderId="33" xfId="2" applyFont="1" applyFill="1" applyBorder="1" applyAlignment="1">
      <alignment horizontal="center" vertical="center" wrapText="1"/>
    </xf>
    <xf numFmtId="168" fontId="227" fillId="0" borderId="33" xfId="2" applyNumberFormat="1" applyFont="1" applyBorder="1" applyAlignment="1">
      <alignment horizontal="center" vertical="center"/>
    </xf>
    <xf numFmtId="3" fontId="228" fillId="2" borderId="25" xfId="2" applyNumberFormat="1" applyFont="1" applyFill="1" applyBorder="1" applyAlignment="1">
      <alignment horizontal="center" vertical="center" wrapText="1"/>
    </xf>
    <xf numFmtId="0" fontId="227" fillId="0" borderId="33" xfId="2" applyFont="1" applyBorder="1" applyAlignment="1">
      <alignment vertical="center"/>
    </xf>
    <xf numFmtId="0" fontId="229" fillId="17" borderId="66" xfId="2" applyFont="1" applyFill="1" applyBorder="1" applyAlignment="1">
      <alignment horizontal="center" vertical="center" wrapText="1"/>
    </xf>
    <xf numFmtId="168" fontId="229" fillId="17" borderId="66" xfId="2" applyNumberFormat="1" applyFont="1" applyFill="1" applyBorder="1" applyAlignment="1">
      <alignment horizontal="center" vertical="center" wrapText="1"/>
    </xf>
    <xf numFmtId="0" fontId="229" fillId="17" borderId="66" xfId="2" applyFont="1" applyFill="1" applyBorder="1" applyAlignment="1">
      <alignment horizontal="left" vertical="center" wrapText="1"/>
    </xf>
    <xf numFmtId="0" fontId="226" fillId="34" borderId="65" xfId="2" applyFont="1" applyFill="1" applyBorder="1" applyAlignment="1">
      <alignment horizontal="right" vertical="center"/>
    </xf>
    <xf numFmtId="0" fontId="226" fillId="34" borderId="64" xfId="2" applyFont="1" applyFill="1" applyBorder="1" applyAlignment="1">
      <alignment horizontal="center" vertical="center"/>
    </xf>
    <xf numFmtId="0" fontId="226" fillId="34" borderId="64" xfId="2" applyFont="1" applyFill="1" applyBorder="1" applyAlignment="1">
      <alignment horizontal="center" vertical="center" wrapText="1"/>
    </xf>
    <xf numFmtId="0" fontId="226" fillId="34" borderId="64" xfId="2" applyFont="1" applyFill="1" applyBorder="1" applyAlignment="1">
      <alignment horizontal="left" vertical="center"/>
    </xf>
    <xf numFmtId="0" fontId="226" fillId="34" borderId="63" xfId="2" applyFont="1" applyFill="1" applyBorder="1" applyAlignment="1">
      <alignment horizontal="center" vertical="center" wrapText="1"/>
    </xf>
    <xf numFmtId="0" fontId="231" fillId="0" borderId="0" xfId="2" applyFont="1" applyAlignment="1">
      <alignment vertical="center"/>
    </xf>
    <xf numFmtId="0" fontId="229" fillId="0" borderId="62" xfId="2" applyFont="1" applyBorder="1" applyAlignment="1">
      <alignment horizontal="right" vertical="center" wrapText="1"/>
    </xf>
    <xf numFmtId="0" fontId="232" fillId="20" borderId="61" xfId="2" applyFont="1" applyFill="1" applyBorder="1" applyAlignment="1">
      <alignment horizontal="left" vertical="center" wrapText="1"/>
    </xf>
    <xf numFmtId="170" fontId="233" fillId="2" borderId="61" xfId="2" applyNumberFormat="1" applyFont="1" applyFill="1" applyBorder="1" applyAlignment="1">
      <alignment horizontal="center" vertical="center" wrapText="1"/>
    </xf>
    <xf numFmtId="168" fontId="228" fillId="2" borderId="61" xfId="2" applyNumberFormat="1" applyFont="1" applyFill="1" applyBorder="1" applyAlignment="1">
      <alignment horizontal="center" vertical="center" wrapText="1"/>
    </xf>
    <xf numFmtId="169" fontId="227" fillId="0" borderId="61" xfId="2" applyNumberFormat="1" applyFont="1" applyBorder="1" applyAlignment="1">
      <alignment horizontal="center" vertical="center" wrapText="1"/>
    </xf>
    <xf numFmtId="0" fontId="227" fillId="0" borderId="61" xfId="2" applyFont="1" applyBorder="1" applyAlignment="1">
      <alignment horizontal="left" vertical="center" wrapText="1"/>
    </xf>
    <xf numFmtId="0" fontId="227" fillId="0" borderId="60" xfId="2" applyFont="1" applyBorder="1" applyAlignment="1">
      <alignment horizontal="left" vertical="center" wrapText="1"/>
    </xf>
    <xf numFmtId="0" fontId="227" fillId="0" borderId="0" xfId="2" applyFont="1" applyAlignment="1">
      <alignment vertical="center" wrapText="1"/>
    </xf>
    <xf numFmtId="0" fontId="226" fillId="34" borderId="59" xfId="2" applyFont="1" applyFill="1" applyBorder="1" applyAlignment="1">
      <alignment horizontal="center" vertical="center" wrapText="1"/>
    </xf>
    <xf numFmtId="0" fontId="226" fillId="34" borderId="58" xfId="2" applyFont="1" applyFill="1" applyBorder="1" applyAlignment="1">
      <alignment horizontal="left" vertical="center" wrapText="1"/>
    </xf>
    <xf numFmtId="0" fontId="226" fillId="34" borderId="58" xfId="2" applyFont="1" applyFill="1" applyBorder="1" applyAlignment="1">
      <alignment horizontal="center" vertical="center" wrapText="1"/>
    </xf>
    <xf numFmtId="0" fontId="226" fillId="34" borderId="57" xfId="2" applyFont="1" applyFill="1" applyBorder="1" applyAlignment="1">
      <alignment horizontal="center" vertical="center" wrapText="1"/>
    </xf>
    <xf numFmtId="0" fontId="229" fillId="0" borderId="33" xfId="2" applyFont="1" applyBorder="1" applyAlignment="1">
      <alignment horizontal="center" vertical="center" wrapText="1"/>
    </xf>
    <xf numFmtId="0" fontId="227" fillId="0" borderId="33" xfId="2" applyFont="1" applyBorder="1" applyAlignment="1">
      <alignment vertical="center" wrapText="1"/>
    </xf>
    <xf numFmtId="0" fontId="227" fillId="0" borderId="56" xfId="2" applyFont="1" applyBorder="1" applyAlignment="1">
      <alignment horizontal="left" vertical="center" wrapText="1"/>
    </xf>
    <xf numFmtId="0" fontId="227" fillId="0" borderId="0" xfId="2" applyFont="1" applyAlignment="1">
      <alignment horizontal="left" vertical="center" wrapText="1"/>
    </xf>
    <xf numFmtId="0" fontId="227" fillId="0" borderId="55" xfId="2" applyFont="1" applyBorder="1" applyAlignment="1">
      <alignment horizontal="left" vertical="center" wrapText="1"/>
    </xf>
    <xf numFmtId="0" fontId="226" fillId="34" borderId="44" xfId="2" applyFont="1" applyFill="1" applyBorder="1" applyAlignment="1">
      <alignment horizontal="center" vertical="center" wrapText="1"/>
    </xf>
    <xf numFmtId="0" fontId="226" fillId="34" borderId="45" xfId="2" applyFont="1" applyFill="1" applyBorder="1" applyAlignment="1">
      <alignment horizontal="center" vertical="center" wrapText="1"/>
    </xf>
    <xf numFmtId="0" fontId="226" fillId="34" borderId="45" xfId="2" applyFont="1" applyFill="1" applyBorder="1" applyAlignment="1">
      <alignment horizontal="left" vertical="center" wrapText="1"/>
    </xf>
    <xf numFmtId="0" fontId="226" fillId="34" borderId="45" xfId="2" applyFont="1" applyFill="1" applyBorder="1" applyAlignment="1">
      <alignment horizontal="right" vertical="center" wrapText="1"/>
    </xf>
    <xf numFmtId="0" fontId="226" fillId="34" borderId="46" xfId="2" applyFont="1" applyFill="1" applyBorder="1" applyAlignment="1">
      <alignment horizontal="center" vertical="center" wrapText="1"/>
    </xf>
    <xf numFmtId="0" fontId="227" fillId="0" borderId="54" xfId="2" applyFont="1" applyBorder="1" applyAlignment="1">
      <alignment horizontal="right" vertical="center" wrapText="1"/>
    </xf>
    <xf numFmtId="168" fontId="229" fillId="0" borderId="54" xfId="2" applyNumberFormat="1" applyFont="1" applyBorder="1" applyAlignment="1">
      <alignment horizontal="center" vertical="center" wrapText="1"/>
    </xf>
    <xf numFmtId="0" fontId="227" fillId="0" borderId="53" xfId="2" applyFont="1" applyBorder="1" applyAlignment="1">
      <alignment horizontal="left" vertical="center" wrapText="1"/>
    </xf>
    <xf numFmtId="0" fontId="234" fillId="32" borderId="185" xfId="2" applyFont="1" applyFill="1" applyBorder="1" applyAlignment="1">
      <alignment horizontal="center" vertical="center" wrapText="1"/>
    </xf>
    <xf numFmtId="0" fontId="234" fillId="32" borderId="187" xfId="2" applyFont="1" applyFill="1" applyBorder="1" applyAlignment="1">
      <alignment horizontal="center" vertical="center" wrapText="1"/>
    </xf>
    <xf numFmtId="0" fontId="234" fillId="32" borderId="186" xfId="2" applyFont="1" applyFill="1" applyBorder="1" applyAlignment="1">
      <alignment horizontal="center" vertical="center" wrapText="1"/>
    </xf>
    <xf numFmtId="0" fontId="234" fillId="32" borderId="188" xfId="2" applyFont="1" applyFill="1" applyBorder="1" applyAlignment="1">
      <alignment horizontal="center" vertical="center" wrapText="1"/>
    </xf>
    <xf numFmtId="0" fontId="231" fillId="20" borderId="0" xfId="2" applyFont="1" applyFill="1" applyAlignment="1">
      <alignment vertical="center"/>
    </xf>
    <xf numFmtId="0" fontId="226" fillId="34" borderId="52" xfId="2" applyFont="1" applyFill="1" applyBorder="1" applyAlignment="1">
      <alignment horizontal="left" vertical="center"/>
    </xf>
    <xf numFmtId="0" fontId="226" fillId="34" borderId="51" xfId="2" applyFont="1" applyFill="1" applyBorder="1" applyAlignment="1">
      <alignment horizontal="center" vertical="center" wrapText="1"/>
    </xf>
    <xf numFmtId="0" fontId="226" fillId="34" borderId="51" xfId="2" applyFont="1" applyFill="1" applyBorder="1" applyAlignment="1">
      <alignment horizontal="left" vertical="center"/>
    </xf>
    <xf numFmtId="0" fontId="226" fillId="34" borderId="50" xfId="2" applyFont="1" applyFill="1" applyBorder="1" applyAlignment="1">
      <alignment horizontal="left" vertical="center"/>
    </xf>
    <xf numFmtId="0" fontId="227" fillId="20" borderId="49" xfId="2" applyFont="1" applyFill="1" applyBorder="1" applyAlignment="1">
      <alignment horizontal="left" vertical="center" wrapText="1"/>
    </xf>
    <xf numFmtId="0" fontId="221" fillId="20" borderId="0" xfId="2" applyFont="1" applyFill="1" applyAlignment="1">
      <alignment vertical="center"/>
    </xf>
    <xf numFmtId="0" fontId="211" fillId="2" borderId="271" xfId="2" applyFont="1" applyFill="1" applyBorder="1" applyAlignment="1">
      <alignment horizontal="left" vertical="top" wrapText="1"/>
    </xf>
    <xf numFmtId="0" fontId="211" fillId="2" borderId="269" xfId="2" applyFont="1" applyFill="1" applyBorder="1" applyAlignment="1">
      <alignment horizontal="left" vertical="top" wrapText="1"/>
    </xf>
    <xf numFmtId="0" fontId="84" fillId="53" borderId="0" xfId="6" applyFont="1" applyFill="1" applyBorder="1" applyAlignment="1">
      <alignment horizontal="center" vertical="center"/>
    </xf>
    <xf numFmtId="0" fontId="114" fillId="43" borderId="273" xfId="2" applyFont="1" applyFill="1" applyBorder="1" applyAlignment="1">
      <alignment horizontal="left" vertical="top" wrapText="1"/>
    </xf>
    <xf numFmtId="0" fontId="114" fillId="43" borderId="272" xfId="2" applyFont="1" applyFill="1" applyBorder="1" applyAlignment="1">
      <alignment horizontal="left" vertical="top" wrapText="1"/>
    </xf>
    <xf numFmtId="0" fontId="97" fillId="27" borderId="22" xfId="2" applyFont="1" applyFill="1" applyBorder="1" applyAlignment="1">
      <alignment horizontal="center" vertical="center"/>
    </xf>
    <xf numFmtId="0" fontId="97" fillId="27" borderId="23" xfId="2" applyFont="1" applyFill="1" applyBorder="1" applyAlignment="1">
      <alignment horizontal="center" vertical="center"/>
    </xf>
    <xf numFmtId="0" fontId="97" fillId="27" borderId="23" xfId="2" applyFont="1" applyFill="1" applyBorder="1" applyAlignment="1">
      <alignment vertical="center"/>
    </xf>
    <xf numFmtId="0" fontId="97" fillId="27" borderId="23" xfId="2" applyFont="1" applyFill="1" applyBorder="1" applyAlignment="1">
      <alignment vertical="center" wrapText="1"/>
    </xf>
    <xf numFmtId="3" fontId="97" fillId="27" borderId="23" xfId="2" applyNumberFormat="1" applyFont="1" applyFill="1" applyBorder="1" applyAlignment="1">
      <alignment vertical="center"/>
    </xf>
    <xf numFmtId="0" fontId="97" fillId="27" borderId="24" xfId="2" applyFont="1" applyFill="1" applyBorder="1" applyAlignment="1">
      <alignment vertical="center" wrapText="1"/>
    </xf>
    <xf numFmtId="0" fontId="30" fillId="20" borderId="0" xfId="2" applyFont="1" applyFill="1" applyAlignment="1">
      <alignment vertical="center"/>
    </xf>
    <xf numFmtId="0" fontId="7" fillId="20" borderId="0" xfId="2" applyFont="1" applyFill="1" applyAlignment="1">
      <alignment vertical="center"/>
    </xf>
    <xf numFmtId="0" fontId="96" fillId="59" borderId="11" xfId="2" applyFont="1" applyFill="1" applyBorder="1" applyAlignment="1">
      <alignment horizontal="center" vertical="center" wrapText="1"/>
    </xf>
    <xf numFmtId="0" fontId="96" fillId="59" borderId="11" xfId="2" applyFont="1" applyFill="1" applyBorder="1" applyAlignment="1">
      <alignment horizontal="center" vertical="center"/>
    </xf>
    <xf numFmtId="0" fontId="96" fillId="59" borderId="11" xfId="2" applyFont="1" applyFill="1" applyBorder="1" applyAlignment="1">
      <alignment horizontal="left" vertical="center"/>
    </xf>
    <xf numFmtId="0" fontId="96" fillId="59" borderId="11" xfId="2" applyFont="1" applyFill="1" applyBorder="1" applyAlignment="1">
      <alignment horizontal="left" vertical="center" wrapText="1"/>
    </xf>
    <xf numFmtId="0" fontId="32" fillId="20" borderId="26" xfId="2" applyFont="1" applyFill="1" applyBorder="1" applyAlignment="1">
      <alignment horizontal="left" vertical="center" wrapText="1"/>
    </xf>
    <xf numFmtId="3" fontId="32" fillId="20" borderId="27" xfId="2" applyNumberFormat="1" applyFont="1" applyFill="1" applyBorder="1" applyAlignment="1">
      <alignment horizontal="right" vertical="center" wrapText="1"/>
    </xf>
    <xf numFmtId="3" fontId="33" fillId="20" borderId="27" xfId="2" applyNumberFormat="1" applyFont="1" applyFill="1" applyBorder="1" applyAlignment="1">
      <alignment horizontal="center" vertical="center"/>
    </xf>
    <xf numFmtId="0" fontId="33" fillId="20" borderId="27" xfId="2" applyFont="1" applyFill="1" applyBorder="1" applyAlignment="1">
      <alignment horizontal="left" vertical="center"/>
    </xf>
    <xf numFmtId="0" fontId="13" fillId="20" borderId="27" xfId="2" applyFill="1" applyBorder="1" applyAlignment="1">
      <alignment vertical="center"/>
    </xf>
    <xf numFmtId="0" fontId="13" fillId="20" borderId="28" xfId="2" applyFill="1" applyBorder="1" applyAlignment="1">
      <alignment vertical="center"/>
    </xf>
    <xf numFmtId="0" fontId="33" fillId="20" borderId="27" xfId="2" applyFont="1" applyFill="1" applyBorder="1" applyAlignment="1">
      <alignment horizontal="center" vertical="center"/>
    </xf>
    <xf numFmtId="3" fontId="5" fillId="20" borderId="25" xfId="2" applyNumberFormat="1" applyFont="1" applyFill="1" applyBorder="1" applyAlignment="1">
      <alignment horizontal="center" vertical="center"/>
    </xf>
    <xf numFmtId="165" fontId="32" fillId="20" borderId="27" xfId="2" applyNumberFormat="1" applyFont="1" applyFill="1" applyBorder="1" applyAlignment="1">
      <alignment horizontal="right" vertical="center" wrapText="1"/>
    </xf>
    <xf numFmtId="166" fontId="32" fillId="20" borderId="27" xfId="2" applyNumberFormat="1" applyFont="1" applyFill="1" applyBorder="1" applyAlignment="1">
      <alignment horizontal="right" vertical="center" wrapText="1"/>
    </xf>
    <xf numFmtId="2" fontId="33" fillId="20" borderId="27" xfId="2" applyNumberFormat="1" applyFont="1" applyFill="1" applyBorder="1" applyAlignment="1">
      <alignment horizontal="center" vertical="center"/>
    </xf>
    <xf numFmtId="2" fontId="33" fillId="20" borderId="27" xfId="2" applyNumberFormat="1" applyFont="1" applyFill="1" applyBorder="1" applyAlignment="1">
      <alignment horizontal="center" vertical="center" wrapText="1"/>
    </xf>
    <xf numFmtId="0" fontId="32" fillId="20" borderId="30" xfId="2" applyFont="1" applyFill="1" applyBorder="1" applyAlignment="1">
      <alignment horizontal="left" vertical="center" wrapText="1"/>
    </xf>
    <xf numFmtId="166" fontId="32" fillId="20" borderId="31" xfId="2" applyNumberFormat="1" applyFont="1" applyFill="1" applyBorder="1" applyAlignment="1">
      <alignment horizontal="center" vertical="center" wrapText="1"/>
    </xf>
    <xf numFmtId="0" fontId="32" fillId="20" borderId="31" xfId="2" applyFont="1" applyFill="1" applyBorder="1" applyAlignment="1">
      <alignment horizontal="center" vertical="center" wrapText="1"/>
    </xf>
    <xf numFmtId="0" fontId="13" fillId="20" borderId="31" xfId="2" applyFill="1" applyBorder="1" applyAlignment="1">
      <alignment vertical="center"/>
    </xf>
    <xf numFmtId="0" fontId="32" fillId="20" borderId="31" xfId="2" applyFont="1" applyFill="1" applyBorder="1" applyAlignment="1">
      <alignment horizontal="center" vertical="center"/>
    </xf>
    <xf numFmtId="0" fontId="13" fillId="20" borderId="32" xfId="2" applyFill="1" applyBorder="1" applyAlignment="1">
      <alignment vertical="center"/>
    </xf>
    <xf numFmtId="0" fontId="96" fillId="59" borderId="1" xfId="2" applyFont="1" applyFill="1" applyBorder="1" applyAlignment="1">
      <alignment horizontal="center" vertical="center" wrapText="1"/>
    </xf>
    <xf numFmtId="0" fontId="8" fillId="0" borderId="1" xfId="2" applyFont="1" applyBorder="1" applyAlignment="1">
      <alignment horizontal="right" vertical="center"/>
    </xf>
    <xf numFmtId="0" fontId="6" fillId="0" borderId="1" xfId="2" applyFont="1" applyBorder="1" applyAlignment="1">
      <alignment horizontal="center" vertical="center"/>
    </xf>
    <xf numFmtId="164" fontId="6" fillId="0" borderId="1" xfId="2" applyNumberFormat="1" applyFont="1" applyBorder="1" applyAlignment="1">
      <alignment horizontal="center" vertical="center"/>
    </xf>
    <xf numFmtId="0" fontId="7" fillId="0" borderId="85" xfId="2" applyFont="1" applyBorder="1" applyAlignment="1">
      <alignment vertical="center" wrapText="1"/>
    </xf>
    <xf numFmtId="0" fontId="7" fillId="20" borderId="86" xfId="2" applyFont="1" applyFill="1" applyBorder="1" applyAlignment="1">
      <alignment vertical="center"/>
    </xf>
    <xf numFmtId="0" fontId="7" fillId="20" borderId="89" xfId="2" applyFont="1" applyFill="1" applyBorder="1" applyAlignment="1">
      <alignment vertical="center"/>
    </xf>
    <xf numFmtId="0" fontId="7" fillId="20" borderId="90" xfId="2" applyFont="1" applyFill="1" applyBorder="1" applyAlignment="1">
      <alignment vertical="center"/>
    </xf>
    <xf numFmtId="0" fontId="7" fillId="20" borderId="91" xfId="2" applyFont="1" applyFill="1" applyBorder="1" applyAlignment="1">
      <alignment vertical="center"/>
    </xf>
    <xf numFmtId="0" fontId="96" fillId="59" borderId="18" xfId="2" applyFont="1" applyFill="1" applyBorder="1" applyAlignment="1">
      <alignment horizontal="center" vertical="center" wrapText="1"/>
    </xf>
    <xf numFmtId="0" fontId="96" fillId="59" borderId="19" xfId="2" applyFont="1" applyFill="1" applyBorder="1" applyAlignment="1">
      <alignment horizontal="center" vertical="center" wrapText="1"/>
    </xf>
    <xf numFmtId="0" fontId="96" fillId="59" borderId="1" xfId="2" applyFont="1" applyFill="1" applyBorder="1" applyAlignment="1">
      <alignment horizontal="right" vertical="center" wrapText="1"/>
    </xf>
    <xf numFmtId="0" fontId="96" fillId="59" borderId="1" xfId="2" applyFont="1" applyFill="1" applyBorder="1" applyAlignment="1">
      <alignment horizontal="center" vertical="center"/>
    </xf>
    <xf numFmtId="0" fontId="96" fillId="59" borderId="1" xfId="2" applyFont="1" applyFill="1" applyBorder="1" applyAlignment="1">
      <alignment horizontal="left" vertical="center"/>
    </xf>
    <xf numFmtId="0" fontId="32" fillId="32" borderId="37" xfId="2" applyFont="1" applyFill="1" applyBorder="1" applyAlignment="1">
      <alignment horizontal="left" vertical="center" wrapText="1"/>
    </xf>
    <xf numFmtId="0" fontId="32" fillId="32" borderId="38" xfId="2" applyFont="1" applyFill="1" applyBorder="1" applyAlignment="1">
      <alignment horizontal="left" vertical="center" wrapText="1"/>
    </xf>
    <xf numFmtId="0" fontId="7" fillId="21" borderId="85" xfId="2" applyFont="1" applyFill="1" applyBorder="1" applyAlignment="1">
      <alignment vertical="center" wrapText="1"/>
    </xf>
    <xf numFmtId="0" fontId="7" fillId="20" borderId="87" xfId="2" applyFont="1" applyFill="1" applyBorder="1" applyAlignment="1">
      <alignment vertical="center" wrapText="1"/>
    </xf>
    <xf numFmtId="0" fontId="7" fillId="20" borderId="86" xfId="2" applyFont="1" applyFill="1" applyBorder="1" applyAlignment="1">
      <alignment vertical="center" wrapText="1"/>
    </xf>
    <xf numFmtId="0" fontId="7" fillId="20" borderId="88" xfId="2" applyFont="1" applyFill="1" applyBorder="1" applyAlignment="1">
      <alignment vertical="center" wrapText="1"/>
    </xf>
    <xf numFmtId="0" fontId="7" fillId="20" borderId="0" xfId="2" applyFont="1" applyFill="1" applyAlignment="1">
      <alignment vertical="center" wrapText="1"/>
    </xf>
    <xf numFmtId="0" fontId="32" fillId="32" borderId="78" xfId="2" applyFont="1" applyFill="1" applyBorder="1" applyAlignment="1">
      <alignment horizontal="left" vertical="center" wrapText="1"/>
    </xf>
    <xf numFmtId="0" fontId="32" fillId="32" borderId="79" xfId="2" applyFont="1" applyFill="1" applyBorder="1" applyAlignment="1">
      <alignment horizontal="left" vertical="center" wrapText="1"/>
    </xf>
    <xf numFmtId="0" fontId="97" fillId="59" borderId="44" xfId="2" applyFont="1" applyFill="1" applyBorder="1" applyAlignment="1">
      <alignment horizontal="left" vertical="center"/>
    </xf>
    <xf numFmtId="0" fontId="106" fillId="59" borderId="45" xfId="2" applyFont="1" applyFill="1" applyBorder="1" applyAlignment="1">
      <alignment horizontal="center" vertical="center" wrapText="1"/>
    </xf>
    <xf numFmtId="0" fontId="106" fillId="59" borderId="46" xfId="2" applyFont="1" applyFill="1" applyBorder="1" applyAlignment="1">
      <alignment horizontal="center" vertical="center" wrapText="1"/>
    </xf>
    <xf numFmtId="0" fontId="217" fillId="106" borderId="0" xfId="2" applyFont="1" applyFill="1" applyAlignment="1">
      <alignment horizontal="center" vertical="center" wrapText="1"/>
    </xf>
    <xf numFmtId="0" fontId="214" fillId="107" borderId="0" xfId="2" applyFont="1" applyFill="1" applyAlignment="1">
      <alignment horizontal="centerContinuous" vertical="center"/>
    </xf>
    <xf numFmtId="0" fontId="235" fillId="103" borderId="0" xfId="2" applyFont="1" applyFill="1" applyAlignment="1">
      <alignment horizontal="right" vertical="center" wrapText="1"/>
    </xf>
    <xf numFmtId="0" fontId="235" fillId="103" borderId="0" xfId="2" applyFont="1" applyFill="1" applyAlignment="1">
      <alignment vertical="center"/>
    </xf>
    <xf numFmtId="0" fontId="235" fillId="103" borderId="0" xfId="2" applyFont="1" applyFill="1" applyAlignment="1">
      <alignment vertical="center" wrapText="1"/>
    </xf>
    <xf numFmtId="0" fontId="13" fillId="0" borderId="0" xfId="2" applyAlignment="1">
      <alignment vertical="center" wrapText="1"/>
    </xf>
    <xf numFmtId="0" fontId="236" fillId="106" borderId="0" xfId="2" applyFont="1" applyFill="1" applyAlignment="1">
      <alignment horizontal="centerContinuous" vertical="center"/>
    </xf>
    <xf numFmtId="0" fontId="214" fillId="106" borderId="0" xfId="2" applyFont="1" applyFill="1" applyAlignment="1">
      <alignment horizontal="centerContinuous" vertical="center"/>
    </xf>
    <xf numFmtId="0" fontId="219" fillId="8" borderId="0" xfId="2" applyFont="1" applyFill="1" applyAlignment="1">
      <alignment horizontal="right" vertical="center" wrapText="1"/>
    </xf>
    <xf numFmtId="0" fontId="219" fillId="8" borderId="0" xfId="2" applyFont="1" applyFill="1" applyAlignment="1">
      <alignment horizontal="left" vertical="center" wrapText="1"/>
    </xf>
    <xf numFmtId="0" fontId="219" fillId="8" borderId="0" xfId="2" applyFont="1" applyFill="1" applyAlignment="1">
      <alignment vertical="center"/>
    </xf>
    <xf numFmtId="0" fontId="13" fillId="8" borderId="0" xfId="2" applyFill="1" applyAlignment="1">
      <alignment vertical="center" wrapText="1"/>
    </xf>
    <xf numFmtId="0" fontId="219" fillId="8" borderId="0" xfId="2" applyFont="1" applyFill="1" applyAlignment="1">
      <alignment horizontal="left" vertical="center"/>
    </xf>
    <xf numFmtId="0" fontId="237" fillId="108" borderId="0" xfId="2" applyFont="1" applyFill="1" applyAlignment="1">
      <alignment horizontal="center" vertical="center" wrapText="1"/>
    </xf>
    <xf numFmtId="0" fontId="238" fillId="108" borderId="0" xfId="2" applyFont="1" applyFill="1" applyAlignment="1">
      <alignment horizontal="center" vertical="center" wrapText="1"/>
    </xf>
    <xf numFmtId="0" fontId="21" fillId="0" borderId="0" xfId="2" applyFont="1" applyAlignment="1">
      <alignment horizontal="right" vertical="center" wrapText="1"/>
    </xf>
    <xf numFmtId="0" fontId="13" fillId="0" borderId="0" xfId="2" applyAlignment="1">
      <alignment horizontal="center" vertical="center" wrapText="1"/>
    </xf>
    <xf numFmtId="0" fontId="19" fillId="8" borderId="0" xfId="2" applyFont="1" applyFill="1" applyAlignment="1">
      <alignment horizontal="right" vertical="center" wrapText="1"/>
    </xf>
    <xf numFmtId="0" fontId="21" fillId="8" borderId="0" xfId="2" applyFont="1" applyFill="1" applyAlignment="1">
      <alignment horizontal="right" vertical="center" wrapText="1"/>
    </xf>
    <xf numFmtId="0" fontId="13" fillId="8" borderId="0" xfId="2" applyFill="1" applyAlignment="1">
      <alignment horizontal="center" vertical="center" wrapText="1"/>
    </xf>
    <xf numFmtId="0" fontId="83" fillId="8" borderId="0" xfId="2" applyFont="1" applyFill="1" applyAlignment="1">
      <alignment horizontal="center" vertical="center"/>
    </xf>
    <xf numFmtId="0" fontId="7" fillId="0" borderId="0" xfId="21" applyFont="1" applyAlignment="1">
      <alignment vertical="center"/>
    </xf>
    <xf numFmtId="0" fontId="7" fillId="109" borderId="0" xfId="2" applyFont="1" applyFill="1" applyAlignment="1">
      <alignment horizontal="center" vertical="center"/>
    </xf>
    <xf numFmtId="0" fontId="7" fillId="109" borderId="0" xfId="2" applyFont="1" applyFill="1" applyAlignment="1">
      <alignment vertical="center"/>
    </xf>
    <xf numFmtId="0" fontId="13" fillId="109" borderId="0" xfId="2" applyFill="1" applyAlignment="1">
      <alignment vertical="center"/>
    </xf>
    <xf numFmtId="0" fontId="239" fillId="110" borderId="199" xfId="2" applyFont="1" applyFill="1" applyBorder="1" applyAlignment="1">
      <alignment horizontal="center" vertical="center"/>
    </xf>
    <xf numFmtId="0" fontId="239" fillId="110" borderId="198" xfId="2" applyFont="1" applyFill="1" applyBorder="1" applyAlignment="1">
      <alignment horizontal="center" vertical="center"/>
    </xf>
    <xf numFmtId="0" fontId="32" fillId="0" borderId="202" xfId="2" applyFont="1" applyBorder="1" applyAlignment="1">
      <alignment vertical="center" wrapText="1"/>
    </xf>
    <xf numFmtId="0" fontId="32" fillId="0" borderId="167" xfId="2" applyFont="1" applyBorder="1" applyAlignment="1">
      <alignment vertical="center" wrapText="1"/>
    </xf>
    <xf numFmtId="0" fontId="32" fillId="0" borderId="167" xfId="2" applyFont="1" applyBorder="1" applyAlignment="1">
      <alignment horizontal="center" vertical="center" wrapText="1"/>
    </xf>
    <xf numFmtId="0" fontId="32" fillId="0" borderId="201" xfId="2" applyFont="1" applyBorder="1" applyAlignment="1">
      <alignment vertical="center" wrapText="1"/>
    </xf>
    <xf numFmtId="0" fontId="32" fillId="0" borderId="49" xfId="2" applyFont="1" applyBorder="1" applyAlignment="1">
      <alignment vertical="center" wrapText="1"/>
    </xf>
    <xf numFmtId="0" fontId="32" fillId="0" borderId="33" xfId="2" applyFont="1" applyBorder="1" applyAlignment="1">
      <alignment horizontal="center" vertical="center" wrapText="1"/>
    </xf>
    <xf numFmtId="0" fontId="32" fillId="0" borderId="47" xfId="2" applyFont="1" applyBorder="1" applyAlignment="1">
      <alignment vertical="center" wrapText="1"/>
    </xf>
    <xf numFmtId="0" fontId="32" fillId="0" borderId="194" xfId="2" applyFont="1" applyBorder="1" applyAlignment="1">
      <alignment vertical="center" wrapText="1"/>
    </xf>
    <xf numFmtId="0" fontId="32" fillId="0" borderId="168" xfId="2" applyFont="1" applyBorder="1" applyAlignment="1">
      <alignment vertical="center" wrapText="1"/>
    </xf>
    <xf numFmtId="0" fontId="32" fillId="0" borderId="168" xfId="2" applyFont="1" applyBorder="1" applyAlignment="1">
      <alignment horizontal="center" vertical="center" wrapText="1"/>
    </xf>
    <xf numFmtId="0" fontId="32" fillId="0" borderId="193" xfId="2" applyFont="1" applyBorder="1" applyAlignment="1">
      <alignment vertical="center" wrapText="1"/>
    </xf>
    <xf numFmtId="0" fontId="239" fillId="110" borderId="200" xfId="2" applyFont="1" applyFill="1" applyBorder="1" applyAlignment="1">
      <alignment horizontal="center" vertical="center"/>
    </xf>
    <xf numFmtId="0" fontId="240" fillId="0" borderId="210" xfId="2" applyFont="1" applyBorder="1" applyAlignment="1">
      <alignment vertical="center" wrapText="1"/>
    </xf>
    <xf numFmtId="0" fontId="240" fillId="0" borderId="0" xfId="2" applyFont="1" applyAlignment="1">
      <alignment vertical="center" wrapText="1"/>
    </xf>
    <xf numFmtId="0" fontId="240" fillId="0" borderId="230" xfId="2" applyFont="1" applyBorder="1" applyAlignment="1">
      <alignment vertical="center" wrapText="1"/>
    </xf>
    <xf numFmtId="0" fontId="13" fillId="0" borderId="9" xfId="2" applyBorder="1" applyAlignment="1">
      <alignment vertical="center"/>
    </xf>
    <xf numFmtId="0" fontId="13" fillId="0" borderId="7" xfId="2" applyBorder="1" applyAlignment="1">
      <alignment vertical="center"/>
    </xf>
    <xf numFmtId="0" fontId="13" fillId="0" borderId="7" xfId="2" applyBorder="1" applyAlignment="1">
      <alignment horizontal="left" vertical="center" wrapText="1"/>
    </xf>
    <xf numFmtId="0" fontId="19" fillId="0" borderId="6" xfId="2" applyFont="1" applyBorder="1" applyAlignment="1">
      <alignment horizontal="center" vertical="center" wrapText="1"/>
    </xf>
    <xf numFmtId="0" fontId="13" fillId="27" borderId="0" xfId="2" applyFill="1" applyAlignment="1">
      <alignment vertical="center"/>
    </xf>
    <xf numFmtId="0" fontId="13" fillId="0" borderId="5" xfId="2" applyBorder="1" applyAlignment="1">
      <alignment vertical="center"/>
    </xf>
    <xf numFmtId="0" fontId="13" fillId="0" borderId="3" xfId="2" applyBorder="1" applyAlignment="1">
      <alignment vertical="center"/>
    </xf>
    <xf numFmtId="0" fontId="13" fillId="0" borderId="3" xfId="2" applyBorder="1" applyAlignment="1">
      <alignment horizontal="left" vertical="center" wrapText="1"/>
    </xf>
    <xf numFmtId="0" fontId="19" fillId="0" borderId="2" xfId="2" applyFont="1" applyBorder="1" applyAlignment="1">
      <alignment horizontal="center" vertical="center" wrapText="1"/>
    </xf>
    <xf numFmtId="0" fontId="108" fillId="27" borderId="5" xfId="2" applyFont="1" applyFill="1" applyBorder="1" applyAlignment="1">
      <alignment horizontal="left" vertical="center"/>
    </xf>
    <xf numFmtId="0" fontId="108" fillId="27" borderId="3" xfId="2" applyFont="1" applyFill="1" applyBorder="1" applyAlignment="1">
      <alignment horizontal="left" vertical="center"/>
    </xf>
    <xf numFmtId="0" fontId="108" fillId="27" borderId="4" xfId="2" applyFont="1" applyFill="1" applyBorder="1" applyAlignment="1">
      <alignment horizontal="left" vertical="center"/>
    </xf>
    <xf numFmtId="0" fontId="108" fillId="27" borderId="4" xfId="2" applyFont="1" applyFill="1" applyBorder="1" applyAlignment="1">
      <alignment horizontal="center" vertical="center"/>
    </xf>
    <xf numFmtId="0" fontId="108" fillId="27" borderId="10" xfId="2" applyFont="1" applyFill="1" applyBorder="1" applyAlignment="1">
      <alignment horizontal="center" vertical="center" wrapText="1"/>
    </xf>
    <xf numFmtId="0" fontId="241" fillId="6" borderId="215" xfId="21" applyFont="1" applyFill="1" applyBorder="1" applyAlignment="1">
      <alignment horizontal="center" vertical="center" wrapText="1"/>
    </xf>
    <xf numFmtId="0" fontId="240" fillId="20" borderId="214" xfId="21" applyFont="1" applyFill="1" applyBorder="1" applyAlignment="1">
      <alignment vertical="center" wrapText="1"/>
    </xf>
    <xf numFmtId="0" fontId="240" fillId="20" borderId="213" xfId="21" applyFont="1" applyFill="1" applyBorder="1" applyAlignment="1">
      <alignment vertical="center" wrapText="1"/>
    </xf>
    <xf numFmtId="0" fontId="240" fillId="20" borderId="231" xfId="21" applyFont="1" applyFill="1" applyBorder="1" applyAlignment="1">
      <alignment vertical="center" wrapText="1"/>
    </xf>
    <xf numFmtId="0" fontId="240" fillId="20" borderId="221" xfId="21" applyFont="1" applyFill="1" applyBorder="1" applyAlignment="1">
      <alignment vertical="center" wrapText="1"/>
    </xf>
    <xf numFmtId="0" fontId="240" fillId="20" borderId="220" xfId="21" applyFont="1" applyFill="1" applyBorder="1" applyAlignment="1">
      <alignment vertical="center" wrapText="1"/>
    </xf>
    <xf numFmtId="0" fontId="240" fillId="20" borderId="229" xfId="21" applyFont="1" applyFill="1" applyBorder="1" applyAlignment="1">
      <alignment vertical="center" wrapText="1"/>
    </xf>
    <xf numFmtId="0" fontId="13" fillId="32" borderId="0" xfId="2" applyFill="1" applyAlignment="1">
      <alignment vertical="center"/>
    </xf>
    <xf numFmtId="0" fontId="242" fillId="111" borderId="0" xfId="2" applyFont="1" applyFill="1" applyAlignment="1">
      <alignment horizontal="right" vertical="center" wrapText="1"/>
    </xf>
    <xf numFmtId="0" fontId="97" fillId="27" borderId="0" xfId="2" applyFont="1" applyFill="1" applyAlignment="1">
      <alignment horizontal="center" vertical="center"/>
    </xf>
    <xf numFmtId="0" fontId="230" fillId="22" borderId="0" xfId="22" applyFont="1" applyFill="1" applyAlignment="1">
      <alignment horizontal="center" vertical="center"/>
    </xf>
    <xf numFmtId="0" fontId="240" fillId="0" borderId="209" xfId="21" applyFont="1" applyBorder="1" applyAlignment="1">
      <alignment vertical="center" wrapText="1"/>
    </xf>
    <xf numFmtId="0" fontId="13" fillId="0" borderId="7" xfId="2" applyBorder="1" applyAlignment="1">
      <alignment vertical="center" wrapText="1"/>
    </xf>
    <xf numFmtId="0" fontId="19" fillId="32" borderId="8" xfId="2" applyFont="1" applyFill="1" applyBorder="1" applyAlignment="1">
      <alignment horizontal="center" vertical="center" wrapText="1"/>
    </xf>
    <xf numFmtId="0" fontId="13" fillId="32" borderId="8" xfId="2" applyFill="1" applyBorder="1" applyAlignment="1">
      <alignment horizontal="center" vertical="center" wrapText="1"/>
    </xf>
    <xf numFmtId="0" fontId="13" fillId="0" borderId="6" xfId="2" applyBorder="1" applyAlignment="1">
      <alignment vertical="center" wrapText="1"/>
    </xf>
    <xf numFmtId="0" fontId="13" fillId="0" borderId="3" xfId="2" applyBorder="1" applyAlignment="1">
      <alignment vertical="center" wrapText="1"/>
    </xf>
    <xf numFmtId="0" fontId="19" fillId="32" borderId="0" xfId="2" applyFont="1" applyFill="1" applyAlignment="1">
      <alignment horizontal="center" vertical="center" wrapText="1"/>
    </xf>
    <xf numFmtId="0" fontId="13" fillId="32" borderId="0" xfId="2" applyFill="1" applyAlignment="1">
      <alignment horizontal="center" vertical="center" wrapText="1"/>
    </xf>
    <xf numFmtId="0" fontId="13" fillId="0" borderId="2" xfId="2" applyBorder="1" applyAlignment="1">
      <alignment vertical="center" wrapText="1"/>
    </xf>
    <xf numFmtId="0" fontId="19" fillId="32" borderId="4" xfId="2" applyFont="1" applyFill="1" applyBorder="1" applyAlignment="1">
      <alignment horizontal="center" vertical="center" wrapText="1"/>
    </xf>
    <xf numFmtId="0" fontId="13" fillId="32" borderId="4" xfId="2" applyFill="1" applyBorder="1" applyAlignment="1">
      <alignment horizontal="center" vertical="center" wrapText="1"/>
    </xf>
    <xf numFmtId="0" fontId="108" fillId="27" borderId="0" xfId="2" applyFont="1" applyFill="1" applyAlignment="1">
      <alignment horizontal="center" vertical="center"/>
    </xf>
    <xf numFmtId="0" fontId="97" fillId="27" borderId="0" xfId="2" applyFont="1" applyFill="1" applyAlignment="1">
      <alignment horizontal="center" vertical="center"/>
    </xf>
    <xf numFmtId="0" fontId="13" fillId="0" borderId="5" xfId="2" applyBorder="1" applyAlignment="1">
      <alignment vertical="center" wrapText="1"/>
    </xf>
    <xf numFmtId="0" fontId="243" fillId="0" borderId="3" xfId="2" applyFont="1" applyBorder="1" applyAlignment="1">
      <alignment vertical="center" wrapText="1"/>
    </xf>
    <xf numFmtId="0" fontId="96" fillId="59" borderId="8" xfId="2" applyFont="1" applyFill="1" applyBorder="1" applyAlignment="1">
      <alignment horizontal="center" vertical="center" wrapText="1"/>
    </xf>
    <xf numFmtId="0" fontId="13" fillId="0" borderId="7" xfId="2" applyBorder="1" applyAlignment="1">
      <alignment horizontal="center" vertical="center" wrapText="1"/>
    </xf>
    <xf numFmtId="0" fontId="96" fillId="59" borderId="0" xfId="2" applyFont="1" applyFill="1" applyAlignment="1">
      <alignment horizontal="center" vertical="center" wrapText="1"/>
    </xf>
    <xf numFmtId="0" fontId="13" fillId="0" borderId="3" xfId="2" applyBorder="1" applyAlignment="1">
      <alignment horizontal="center" vertical="center" wrapText="1"/>
    </xf>
    <xf numFmtId="0" fontId="240" fillId="0" borderId="221" xfId="2" applyFont="1" applyBorder="1" applyAlignment="1">
      <alignment vertical="center" wrapText="1"/>
    </xf>
    <xf numFmtId="0" fontId="240" fillId="0" borderId="220" xfId="2" applyFont="1" applyBorder="1" applyAlignment="1">
      <alignment vertical="center" wrapText="1"/>
    </xf>
    <xf numFmtId="0" fontId="240" fillId="0" borderId="229" xfId="2" applyFont="1" applyBorder="1" applyAlignment="1">
      <alignment vertical="center" wrapText="1"/>
    </xf>
    <xf numFmtId="0" fontId="244" fillId="64" borderId="209" xfId="2" applyFont="1" applyFill="1" applyBorder="1" applyAlignment="1">
      <alignment vertical="center" wrapText="1"/>
    </xf>
    <xf numFmtId="0" fontId="121" fillId="64" borderId="208" xfId="2" applyFont="1" applyFill="1" applyBorder="1" applyAlignment="1">
      <alignment horizontal="left" vertical="top" wrapText="1"/>
    </xf>
    <xf numFmtId="0" fontId="121" fillId="64" borderId="207" xfId="2" applyFont="1" applyFill="1" applyBorder="1" applyAlignment="1">
      <alignment horizontal="left" vertical="top" wrapText="1"/>
    </xf>
    <xf numFmtId="0" fontId="121" fillId="64" borderId="206" xfId="2" applyFont="1" applyFill="1" applyBorder="1" applyAlignment="1">
      <alignment horizontal="left" vertical="top" wrapText="1"/>
    </xf>
    <xf numFmtId="0" fontId="8" fillId="17" borderId="228" xfId="2" applyFont="1" applyFill="1" applyBorder="1" applyAlignment="1">
      <alignment horizontal="center" vertical="center" wrapText="1"/>
    </xf>
    <xf numFmtId="0" fontId="8" fillId="17" borderId="227" xfId="2" applyFont="1" applyFill="1" applyBorder="1" applyAlignment="1">
      <alignment horizontal="center" vertical="center" wrapText="1"/>
    </xf>
    <xf numFmtId="0" fontId="8" fillId="17" borderId="226" xfId="2" applyFont="1" applyFill="1" applyBorder="1" applyAlignment="1">
      <alignment horizontal="center" vertical="center" wrapText="1"/>
    </xf>
    <xf numFmtId="0" fontId="8" fillId="17" borderId="225" xfId="2" applyFont="1" applyFill="1" applyBorder="1" applyAlignment="1">
      <alignment horizontal="center" vertical="center" wrapText="1"/>
    </xf>
    <xf numFmtId="0" fontId="241" fillId="5" borderId="224" xfId="21" applyFont="1" applyFill="1" applyBorder="1" applyAlignment="1">
      <alignment horizontal="center" vertical="center" wrapText="1"/>
    </xf>
    <xf numFmtId="0" fontId="241" fillId="5" borderId="223" xfId="2" applyFont="1" applyFill="1" applyBorder="1" applyAlignment="1">
      <alignment horizontal="center" vertical="center" wrapText="1"/>
    </xf>
    <xf numFmtId="0" fontId="240" fillId="0" borderId="214" xfId="2" applyFont="1" applyBorder="1" applyAlignment="1">
      <alignment vertical="center" wrapText="1"/>
    </xf>
    <xf numFmtId="0" fontId="240" fillId="0" borderId="213" xfId="2" applyFont="1" applyBorder="1" applyAlignment="1">
      <alignment vertical="center" wrapText="1"/>
    </xf>
    <xf numFmtId="0" fontId="240" fillId="0" borderId="222" xfId="2" applyFont="1" applyBorder="1" applyAlignment="1">
      <alignment vertical="center" wrapText="1"/>
    </xf>
    <xf numFmtId="0" fontId="240" fillId="0" borderId="219" xfId="2" applyFont="1" applyBorder="1" applyAlignment="1">
      <alignment vertical="center" wrapText="1"/>
    </xf>
    <xf numFmtId="0" fontId="8" fillId="64" borderId="209" xfId="2" applyFont="1" applyFill="1" applyBorder="1" applyAlignment="1">
      <alignment horizontal="center" vertical="center" wrapText="1"/>
    </xf>
    <xf numFmtId="0" fontId="8" fillId="17" borderId="215" xfId="2" applyFont="1" applyFill="1" applyBorder="1" applyAlignment="1">
      <alignment horizontal="center" vertical="center" wrapText="1"/>
    </xf>
    <xf numFmtId="0" fontId="241" fillId="5" borderId="215" xfId="21" applyFont="1" applyFill="1" applyBorder="1" applyAlignment="1">
      <alignment horizontal="center" vertical="center" wrapText="1"/>
    </xf>
    <xf numFmtId="0" fontId="241" fillId="5" borderId="215" xfId="2" applyFont="1" applyFill="1" applyBorder="1" applyAlignment="1">
      <alignment horizontal="center" vertical="center" wrapText="1"/>
    </xf>
    <xf numFmtId="0" fontId="240" fillId="0" borderId="209" xfId="2" applyFont="1" applyBorder="1" applyAlignment="1">
      <alignment vertical="center" wrapText="1"/>
    </xf>
    <xf numFmtId="0" fontId="96" fillId="59" borderId="218" xfId="2" applyFont="1" applyFill="1" applyBorder="1" applyAlignment="1">
      <alignment horizontal="center" vertical="center" wrapText="1"/>
    </xf>
    <xf numFmtId="0" fontId="96" fillId="59" borderId="217" xfId="2" applyFont="1" applyFill="1" applyBorder="1" applyAlignment="1">
      <alignment horizontal="center" vertical="center" wrapText="1"/>
    </xf>
    <xf numFmtId="0" fontId="239" fillId="110" borderId="197" xfId="2" applyFont="1" applyFill="1" applyBorder="1" applyAlignment="1">
      <alignment horizontal="center" vertical="center"/>
    </xf>
    <xf numFmtId="0" fontId="239" fillId="110" borderId="196" xfId="2" applyFont="1" applyFill="1" applyBorder="1" applyAlignment="1">
      <alignment horizontal="center" vertical="center"/>
    </xf>
    <xf numFmtId="0" fontId="239" fillId="110" borderId="195" xfId="2" applyFont="1" applyFill="1" applyBorder="1" applyAlignment="1">
      <alignment horizontal="center" vertical="center"/>
    </xf>
    <xf numFmtId="0" fontId="96" fillId="59" borderId="216" xfId="2" applyFont="1" applyFill="1" applyBorder="1" applyAlignment="1">
      <alignment horizontal="center" vertical="center" wrapText="1"/>
    </xf>
    <xf numFmtId="0" fontId="242" fillId="17" borderId="192" xfId="2" applyFont="1" applyFill="1" applyBorder="1" applyAlignment="1">
      <alignment horizontal="center" vertical="center" wrapText="1"/>
    </xf>
    <xf numFmtId="0" fontId="239" fillId="17" borderId="0" xfId="2" applyFont="1" applyFill="1" applyAlignment="1">
      <alignment vertical="center"/>
    </xf>
    <xf numFmtId="0" fontId="96" fillId="59" borderId="215" xfId="2" applyFont="1" applyFill="1" applyBorder="1" applyAlignment="1">
      <alignment horizontal="center" vertical="center" wrapText="1"/>
    </xf>
    <xf numFmtId="0" fontId="108" fillId="59" borderId="0" xfId="2" applyFont="1" applyFill="1" applyAlignment="1">
      <alignment horizontal="center" vertical="center"/>
    </xf>
    <xf numFmtId="0" fontId="5" fillId="17" borderId="215" xfId="2" applyFont="1" applyFill="1" applyBorder="1" applyAlignment="1">
      <alignment horizontal="center" vertical="center" wrapText="1"/>
    </xf>
    <xf numFmtId="0" fontId="7" fillId="56" borderId="0" xfId="2" applyFont="1" applyFill="1" applyAlignment="1">
      <alignment horizontal="left" vertical="center"/>
    </xf>
    <xf numFmtId="0" fontId="7" fillId="56" borderId="0" xfId="2" applyFont="1" applyFill="1" applyAlignment="1">
      <alignment vertical="center"/>
    </xf>
    <xf numFmtId="0" fontId="21" fillId="56" borderId="0" xfId="2" applyFont="1" applyFill="1" applyAlignment="1">
      <alignment horizontal="center" vertical="center"/>
    </xf>
    <xf numFmtId="0" fontId="7" fillId="56" borderId="0" xfId="2" applyFont="1" applyFill="1" applyAlignment="1">
      <alignment horizontal="center" vertical="center"/>
    </xf>
    <xf numFmtId="0" fontId="241" fillId="6" borderId="215" xfId="22" applyFont="1" applyFill="1" applyBorder="1" applyAlignment="1">
      <alignment horizontal="center" vertical="center" wrapText="1"/>
    </xf>
    <xf numFmtId="0" fontId="7" fillId="56" borderId="190" xfId="2" applyFont="1" applyFill="1" applyBorder="1" applyAlignment="1">
      <alignment vertical="center"/>
    </xf>
    <xf numFmtId="0" fontId="240" fillId="56" borderId="214" xfId="2" applyFont="1" applyFill="1" applyBorder="1" applyAlignment="1">
      <alignment vertical="center" wrapText="1"/>
    </xf>
    <xf numFmtId="0" fontId="240" fillId="56" borderId="213" xfId="2" applyFont="1" applyFill="1" applyBorder="1" applyAlignment="1">
      <alignment vertical="center" wrapText="1"/>
    </xf>
    <xf numFmtId="0" fontId="15" fillId="56" borderId="213" xfId="2" applyFont="1" applyFill="1" applyBorder="1" applyAlignment="1">
      <alignment vertical="center"/>
    </xf>
    <xf numFmtId="0" fontId="245" fillId="17" borderId="0" xfId="2" applyFont="1" applyFill="1" applyAlignment="1">
      <alignment horizontal="right" vertical="center"/>
    </xf>
    <xf numFmtId="0" fontId="246" fillId="13" borderId="274" xfId="2" applyFont="1" applyFill="1" applyBorder="1" applyAlignment="1">
      <alignment horizontal="left" vertical="center" wrapText="1"/>
    </xf>
    <xf numFmtId="0" fontId="246" fillId="13" borderId="275" xfId="2" applyFont="1" applyFill="1" applyBorder="1" applyAlignment="1">
      <alignment horizontal="left" vertical="center" wrapText="1"/>
    </xf>
    <xf numFmtId="0" fontId="246" fillId="12" borderId="0" xfId="2" applyFont="1" applyFill="1" applyAlignment="1">
      <alignment horizontal="right" vertical="center" wrapText="1"/>
    </xf>
    <xf numFmtId="0" fontId="237" fillId="56" borderId="210" xfId="2" applyFont="1" applyFill="1" applyBorder="1" applyAlignment="1">
      <alignment vertical="center" wrapText="1"/>
    </xf>
    <xf numFmtId="0" fontId="8" fillId="56" borderId="0" xfId="2" applyFont="1" applyFill="1" applyAlignment="1">
      <alignment vertical="center" wrapText="1"/>
    </xf>
    <xf numFmtId="0" fontId="237" fillId="56" borderId="0" xfId="2" applyFont="1" applyFill="1" applyAlignment="1">
      <alignment vertical="center" wrapText="1"/>
    </xf>
    <xf numFmtId="0" fontId="240" fillId="56" borderId="0" xfId="2" applyFont="1" applyFill="1" applyAlignment="1">
      <alignment vertical="center" wrapText="1"/>
    </xf>
    <xf numFmtId="0" fontId="15" fillId="56" borderId="0" xfId="2" applyFont="1" applyFill="1" applyAlignment="1">
      <alignment horizontal="left" vertical="center"/>
    </xf>
    <xf numFmtId="0" fontId="15" fillId="56" borderId="0" xfId="2" applyFont="1" applyFill="1" applyAlignment="1">
      <alignment vertical="center"/>
    </xf>
    <xf numFmtId="0" fontId="7" fillId="58" borderId="276" xfId="2" applyFont="1" applyFill="1" applyBorder="1" applyAlignment="1">
      <alignment horizontal="left" vertical="center" wrapText="1"/>
    </xf>
    <xf numFmtId="0" fontId="7" fillId="58" borderId="277" xfId="2" applyFont="1" applyFill="1" applyBorder="1" applyAlignment="1">
      <alignment horizontal="left" vertical="center" wrapText="1"/>
    </xf>
    <xf numFmtId="0" fontId="21" fillId="58" borderId="0" xfId="2" applyFont="1" applyFill="1" applyAlignment="1">
      <alignment horizontal="right" vertical="center" wrapText="1"/>
    </xf>
    <xf numFmtId="0" fontId="21" fillId="56" borderId="0" xfId="2" applyFont="1" applyFill="1" applyAlignment="1">
      <alignment horizontal="left" vertical="center"/>
    </xf>
    <xf numFmtId="0" fontId="7" fillId="110" borderId="190" xfId="2" applyFont="1" applyFill="1" applyBorder="1" applyAlignment="1">
      <alignment horizontal="right" vertical="center"/>
    </xf>
    <xf numFmtId="0" fontId="7" fillId="110" borderId="0" xfId="2" applyFont="1" applyFill="1" applyAlignment="1">
      <alignment vertical="center"/>
    </xf>
    <xf numFmtId="0" fontId="240" fillId="56" borderId="210" xfId="2" applyFont="1" applyFill="1" applyBorder="1" applyAlignment="1">
      <alignment vertical="center" wrapText="1"/>
    </xf>
    <xf numFmtId="0" fontId="17" fillId="56" borderId="0" xfId="2" applyFont="1" applyFill="1" applyAlignment="1">
      <alignment vertical="center"/>
    </xf>
    <xf numFmtId="0" fontId="96" fillId="112" borderId="18" xfId="2" applyFont="1" applyFill="1" applyBorder="1" applyAlignment="1">
      <alignment horizontal="right" vertical="center" wrapText="1"/>
    </xf>
    <xf numFmtId="0" fontId="21" fillId="56" borderId="0" xfId="2" applyFont="1" applyFill="1" applyAlignment="1">
      <alignment vertical="center"/>
    </xf>
    <xf numFmtId="0" fontId="247" fillId="62" borderId="270" xfId="21" applyFont="1" applyFill="1" applyBorder="1" applyAlignment="1">
      <alignment horizontal="center" vertical="center" wrapText="1"/>
    </xf>
    <xf numFmtId="0" fontId="247" fillId="62" borderId="270" xfId="2" applyFont="1" applyFill="1" applyBorder="1" applyAlignment="1">
      <alignment horizontal="center" vertical="center" wrapText="1"/>
    </xf>
    <xf numFmtId="0" fontId="21" fillId="20" borderId="0" xfId="2" applyFont="1" applyFill="1" applyAlignment="1">
      <alignment vertical="center"/>
    </xf>
    <xf numFmtId="0" fontId="21" fillId="11" borderId="0" xfId="2" applyFont="1" applyFill="1" applyAlignment="1">
      <alignment vertical="center"/>
    </xf>
    <xf numFmtId="0" fontId="21" fillId="11" borderId="0" xfId="2" applyFont="1" applyFill="1" applyAlignment="1">
      <alignment horizontal="center" vertical="center"/>
    </xf>
    <xf numFmtId="0" fontId="7" fillId="11" borderId="0" xfId="2" applyFont="1" applyFill="1" applyAlignment="1">
      <alignment vertical="center"/>
    </xf>
    <xf numFmtId="0" fontId="7" fillId="11" borderId="0" xfId="2" applyFont="1" applyFill="1" applyAlignment="1">
      <alignment horizontal="center" vertical="center"/>
    </xf>
    <xf numFmtId="0" fontId="248" fillId="11" borderId="0" xfId="2" applyFont="1" applyFill="1" applyAlignment="1">
      <alignment horizontal="left" vertical="center" wrapText="1"/>
    </xf>
    <xf numFmtId="0" fontId="248" fillId="11" borderId="191" xfId="2" applyFont="1" applyFill="1" applyBorder="1" applyAlignment="1">
      <alignment horizontal="left" vertical="center" wrapText="1"/>
    </xf>
    <xf numFmtId="0" fontId="248" fillId="11" borderId="190" xfId="2" applyFont="1" applyFill="1" applyBorder="1" applyAlignment="1">
      <alignment horizontal="left" vertical="center" wrapText="1"/>
    </xf>
    <xf numFmtId="0" fontId="242" fillId="20" borderId="0" xfId="2" applyFont="1" applyFill="1" applyAlignment="1">
      <alignment horizontal="center" vertical="center"/>
    </xf>
    <xf numFmtId="0" fontId="242" fillId="17" borderId="0" xfId="2" applyFont="1" applyFill="1" applyAlignment="1">
      <alignment horizontal="center" vertical="center"/>
    </xf>
    <xf numFmtId="0" fontId="242" fillId="17" borderId="0" xfId="2" applyFont="1" applyFill="1" applyAlignment="1">
      <alignment vertical="center"/>
    </xf>
    <xf numFmtId="0" fontId="249" fillId="17" borderId="0" xfId="2" applyFont="1" applyFill="1" applyAlignment="1">
      <alignment vertical="center"/>
    </xf>
    <xf numFmtId="0" fontId="96" fillId="27" borderId="0" xfId="2" applyFont="1" applyFill="1" applyAlignment="1">
      <alignment vertical="center"/>
    </xf>
    <xf numFmtId="0" fontId="219" fillId="0" borderId="0" xfId="2" applyFont="1" applyAlignment="1">
      <alignment vertical="center"/>
    </xf>
    <xf numFmtId="0" fontId="95" fillId="52" borderId="0" xfId="2" applyFont="1" applyFill="1" applyAlignment="1">
      <alignment vertical="center"/>
    </xf>
    <xf numFmtId="0" fontId="250" fillId="52" borderId="0" xfId="2" applyFont="1" applyFill="1" applyAlignment="1">
      <alignment vertical="center" wrapText="1"/>
    </xf>
    <xf numFmtId="0" fontId="250" fillId="52" borderId="0" xfId="2" applyFont="1" applyFill="1" applyAlignment="1">
      <alignment horizontal="center" vertical="center" wrapText="1"/>
    </xf>
    <xf numFmtId="0" fontId="96" fillId="53" borderId="4" xfId="2" applyFont="1" applyFill="1" applyBorder="1" applyAlignment="1">
      <alignment horizontal="center" vertical="center" wrapText="1"/>
    </xf>
    <xf numFmtId="0" fontId="236" fillId="53" borderId="0" xfId="2" applyFont="1" applyFill="1" applyAlignment="1">
      <alignment horizontal="centerContinuous" vertical="center"/>
    </xf>
    <xf numFmtId="0" fontId="214" fillId="53" borderId="0" xfId="2" applyFont="1" applyFill="1" applyAlignment="1">
      <alignment horizontal="centerContinuous" vertical="center"/>
    </xf>
    <xf numFmtId="0" fontId="21" fillId="43" borderId="0" xfId="2" applyFont="1" applyFill="1" applyAlignment="1">
      <alignment vertical="center" wrapText="1"/>
    </xf>
    <xf numFmtId="0" fontId="19" fillId="43" borderId="0" xfId="2" applyFont="1" applyFill="1" applyAlignment="1">
      <alignment vertical="center" wrapText="1"/>
    </xf>
  </cellXfs>
  <cellStyles count="23">
    <cellStyle name="Lien hypertexte 2" xfId="9" xr:uid="{8BA44EFF-DF58-4276-8CF8-C49E09E9B46D}"/>
    <cellStyle name="Lien hypertexte 2 2 3" xfId="11" xr:uid="{A4D67B1B-5190-4A17-9DEB-B1700C25A857}"/>
    <cellStyle name="Lien hypertexte 3 2 2" xfId="10" xr:uid="{C74ED534-2E45-4F6E-B853-7116955E5614}"/>
    <cellStyle name="Normal" xfId="0" builtinId="0"/>
    <cellStyle name="Normal 10 2 2 2 2 3 2 3 2 2 4 2" xfId="8" xr:uid="{152FEBCB-1C15-411C-825A-1CB6CF66436B}"/>
    <cellStyle name="Normal 12 2" xfId="13" xr:uid="{1FF9EF92-27BD-418E-8ABF-BBA29376358E}"/>
    <cellStyle name="Normal 2" xfId="2" xr:uid="{7DCA5660-3B24-49DE-BC72-9555560ED11F}"/>
    <cellStyle name="Normal 2 2 2 2 2" xfId="1" xr:uid="{00000000-0005-0000-0000-000001000000}"/>
    <cellStyle name="Normal 2 2 2 2 2 2" xfId="7" xr:uid="{6AA8145B-1782-4207-9D9B-101176D4EC9D}"/>
    <cellStyle name="Normal 2 2 2 2 2 2 2" xfId="22" xr:uid="{4C0DE630-DA3A-4EC7-AB81-74907C860A58}"/>
    <cellStyle name="Normal 2 2 2 2 3" xfId="17" xr:uid="{0A6C6951-DCED-44BD-A7E9-27B0CAF90297}"/>
    <cellStyle name="Normal 2 2 5" xfId="3" xr:uid="{23B0A293-56FC-49FB-8705-ECE52AC92E64}"/>
    <cellStyle name="Normal 2 3" xfId="18" xr:uid="{ADF87DEC-9612-4457-8BF2-0F9B3AECE948}"/>
    <cellStyle name="Normal 3" xfId="5" xr:uid="{47248D6E-66B6-4077-92DA-E3A2F7FCCD6D}"/>
    <cellStyle name="Normal 4" xfId="19" xr:uid="{2B48C26B-844C-45C1-83C6-EFE074820C16}"/>
    <cellStyle name="Normal 4 2 2 2 2 2 2 6 2 2 3 2 3 3 2 2 4 2" xfId="16" xr:uid="{C0E17129-7D1E-4200-83A9-0C88DAFD549E}"/>
    <cellStyle name="Normal 4 2 2 2 3 2 2 3 2 2" xfId="12" xr:uid="{3BE68F0C-05D8-45D0-BBD3-F8574BE8E8E0}"/>
    <cellStyle name="Normal 4 3 4 2 2 2" xfId="6" xr:uid="{74E27908-821C-4DBA-9B40-C83EFAF8378E}"/>
    <cellStyle name="Normal 4 3 4 2 2 2 2" xfId="21" xr:uid="{AC994FDB-666F-4759-8586-324F4B15C789}"/>
    <cellStyle name="Normal_Bons de commande livraison" xfId="14" xr:uid="{14B90F5A-AF05-4323-9363-E47A422E0DD7}"/>
    <cellStyle name="Normal_Comparer recettes 2009 OK 2 2" xfId="4" xr:uid="{20A38291-E58A-4969-AFEB-A238900697F8}"/>
    <cellStyle name="Normal_Comparer recettes 2009 OK 2 2 2" xfId="20" xr:uid="{A96E543E-3EC5-4791-9804-AFC2A2E006AA}"/>
    <cellStyle name="Normal_Forum Marais 15 09 2001 2 2 2" xfId="15" xr:uid="{35AF3F0A-B1D9-443C-B177-FCA8622494FD}"/>
  </cellStyles>
  <dxfs count="27">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b/>
        <i val="0"/>
        <color theme="0"/>
      </font>
      <fill>
        <patternFill>
          <bgColor rgb="FF7030A0"/>
        </patternFill>
      </fill>
    </dxf>
    <dxf>
      <font>
        <b/>
        <color rgb="FF9C0006"/>
      </font>
      <fill>
        <patternFill>
          <bgColor rgb="FFF8CBAD"/>
        </patternFill>
      </fill>
    </dxf>
    <dxf>
      <font>
        <b/>
        <color rgb="FF9C0006"/>
      </font>
      <fill>
        <patternFill>
          <bgColor rgb="FFF8CBAD"/>
        </patternFill>
      </fill>
    </dxf>
    <dxf>
      <font>
        <b/>
        <color rgb="FF9C0006"/>
      </font>
      <fill>
        <patternFill>
          <bgColor rgb="FFF8CBAD"/>
        </patternFill>
      </fill>
    </dxf>
    <dxf>
      <font>
        <b/>
        <color rgb="FF9C0006"/>
      </font>
      <fill>
        <patternFill patternType="solid">
          <bgColor rgb="FFF8CBAD"/>
        </patternFill>
      </fill>
    </dxf>
    <dxf>
      <font>
        <b/>
        <color rgb="FF9C0006"/>
      </font>
      <fill>
        <patternFill patternType="solid">
          <bgColor rgb="FFF8CBAD"/>
        </patternFill>
      </fill>
    </dxf>
    <dxf>
      <font>
        <b/>
        <color rgb="FF9C0006"/>
      </font>
      <fill>
        <patternFill patternType="solid">
          <bgColor rgb="FFF8CBAD"/>
        </patternFill>
      </fill>
    </dxf>
  </dxfs>
  <tableStyles count="0" defaultTableStyle="TableStyleMedium2" defaultPivotStyle="PivotStyleLight16"/>
  <colors>
    <mruColors>
      <color rgb="FFE2EFDA"/>
      <color rgb="FF14988F"/>
      <color rgb="FF0F766E"/>
      <color rgb="FF5B9BD5"/>
      <color rgb="FF375623"/>
      <color rgb="FF0033CC"/>
      <color rgb="FFFCE4D6"/>
      <color rgb="FF29A3FF"/>
      <color rgb="FF0070C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228599</xdr:colOff>
      <xdr:row>88</xdr:row>
      <xdr:rowOff>9525</xdr:rowOff>
    </xdr:from>
    <xdr:to>
      <xdr:col>4</xdr:col>
      <xdr:colOff>636737</xdr:colOff>
      <xdr:row>89</xdr:row>
      <xdr:rowOff>150963</xdr:rowOff>
    </xdr:to>
    <xdr:pic>
      <xdr:nvPicPr>
        <xdr:cNvPr id="2" name="Image 1" descr="Google (Android 12L)">
          <a:extLst>
            <a:ext uri="{FF2B5EF4-FFF2-40B4-BE49-F238E27FC236}">
              <a16:creationId xmlns:a16="http://schemas.microsoft.com/office/drawing/2014/main" id="{FFE6E5A7-19B0-46DB-A6D4-4FA639BD05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936220" flipH="1" flipV="1">
          <a:off x="3009899" y="25898475"/>
          <a:ext cx="408138" cy="408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142875</xdr:colOff>
      <xdr:row>88</xdr:row>
      <xdr:rowOff>0</xdr:rowOff>
    </xdr:from>
    <xdr:to>
      <xdr:col>5</xdr:col>
      <xdr:colOff>447675</xdr:colOff>
      <xdr:row>89</xdr:row>
      <xdr:rowOff>38100</xdr:rowOff>
    </xdr:to>
    <xdr:pic>
      <xdr:nvPicPr>
        <xdr:cNvPr id="3" name="Image 2" descr="🔗 Lien">
          <a:extLst>
            <a:ext uri="{FF2B5EF4-FFF2-40B4-BE49-F238E27FC236}">
              <a16:creationId xmlns:a16="http://schemas.microsoft.com/office/drawing/2014/main" id="{FAB48561-E01A-45CF-A69B-8405AA0807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0" y="258889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1</xdr:rowOff>
    </xdr:from>
    <xdr:to>
      <xdr:col>6</xdr:col>
      <xdr:colOff>333375</xdr:colOff>
      <xdr:row>89</xdr:row>
      <xdr:rowOff>104417</xdr:rowOff>
    </xdr:to>
    <xdr:pic>
      <xdr:nvPicPr>
        <xdr:cNvPr id="4" name="Image 3">
          <a:extLst>
            <a:ext uri="{FF2B5EF4-FFF2-40B4-BE49-F238E27FC236}">
              <a16:creationId xmlns:a16="http://schemas.microsoft.com/office/drawing/2014/main" id="{12036E2A-4C4E-44C4-A976-DB9AD494B78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52950" y="25888951"/>
          <a:ext cx="333375" cy="371116"/>
        </a:xfrm>
        <a:prstGeom prst="rect">
          <a:avLst/>
        </a:prstGeom>
      </xdr:spPr>
    </xdr:pic>
    <xdr:clientData/>
  </xdr:twoCellAnchor>
  <xdr:oneCellAnchor>
    <xdr:from>
      <xdr:col>9</xdr:col>
      <xdr:colOff>0</xdr:colOff>
      <xdr:row>42</xdr:row>
      <xdr:rowOff>0</xdr:rowOff>
    </xdr:from>
    <xdr:ext cx="1438476" cy="781159"/>
    <xdr:pic>
      <xdr:nvPicPr>
        <xdr:cNvPr id="5" name="Image 4">
          <a:extLst>
            <a:ext uri="{FF2B5EF4-FFF2-40B4-BE49-F238E27FC236}">
              <a16:creationId xmlns:a16="http://schemas.microsoft.com/office/drawing/2014/main" id="{EA6422C9-BBD3-445D-8479-8F140661E55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467600" y="13620750"/>
          <a:ext cx="1438476" cy="781159"/>
        </a:xfrm>
        <a:prstGeom prst="rect">
          <a:avLst/>
        </a:prstGeom>
      </xdr:spPr>
    </xdr:pic>
    <xdr:clientData/>
  </xdr:oneCellAnchor>
  <xdr:oneCellAnchor>
    <xdr:from>
      <xdr:col>9</xdr:col>
      <xdr:colOff>0</xdr:colOff>
      <xdr:row>47</xdr:row>
      <xdr:rowOff>0</xdr:rowOff>
    </xdr:from>
    <xdr:ext cx="3639058" cy="2133898"/>
    <xdr:pic>
      <xdr:nvPicPr>
        <xdr:cNvPr id="6" name="Image 5">
          <a:extLst>
            <a:ext uri="{FF2B5EF4-FFF2-40B4-BE49-F238E27FC236}">
              <a16:creationId xmlns:a16="http://schemas.microsoft.com/office/drawing/2014/main" id="{2A573439-0F1B-499F-8F97-D6C193EEB49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467600" y="14954250"/>
          <a:ext cx="3639058" cy="2133898"/>
        </a:xfrm>
        <a:prstGeom prst="rect">
          <a:avLst/>
        </a:prstGeom>
      </xdr:spPr>
    </xdr:pic>
    <xdr:clientData/>
  </xdr:oneCellAnchor>
  <xdr:twoCellAnchor editAs="oneCell">
    <xdr:from>
      <xdr:col>9</xdr:col>
      <xdr:colOff>844550</xdr:colOff>
      <xdr:row>4</xdr:row>
      <xdr:rowOff>22225</xdr:rowOff>
    </xdr:from>
    <xdr:to>
      <xdr:col>10</xdr:col>
      <xdr:colOff>392953</xdr:colOff>
      <xdr:row>5</xdr:row>
      <xdr:rowOff>323850</xdr:rowOff>
    </xdr:to>
    <xdr:pic>
      <xdr:nvPicPr>
        <xdr:cNvPr id="7" name="Image 6">
          <a:extLst>
            <a:ext uri="{FF2B5EF4-FFF2-40B4-BE49-F238E27FC236}">
              <a16:creationId xmlns:a16="http://schemas.microsoft.com/office/drawing/2014/main" id="{28E068A4-FF6E-426C-8233-0898A3EFB032}"/>
            </a:ext>
          </a:extLst>
        </xdr:cNvPr>
        <xdr:cNvPicPr>
          <a:picLocks noChangeAspect="1"/>
        </xdr:cNvPicPr>
      </xdr:nvPicPr>
      <xdr:blipFill>
        <a:blip xmlns:r="http://schemas.openxmlformats.org/officeDocument/2006/relationships" r:embed="rId6"/>
        <a:stretch>
          <a:fillRect/>
        </a:stretch>
      </xdr:blipFill>
      <xdr:spPr>
        <a:xfrm>
          <a:off x="8312150" y="879475"/>
          <a:ext cx="815228" cy="568325"/>
        </a:xfrm>
        <a:prstGeom prst="rect">
          <a:avLst/>
        </a:prstGeom>
      </xdr:spPr>
    </xdr:pic>
    <xdr:clientData/>
  </xdr:twoCellAnchor>
  <xdr:twoCellAnchor editAs="oneCell">
    <xdr:from>
      <xdr:col>24</xdr:col>
      <xdr:colOff>73025</xdr:colOff>
      <xdr:row>4</xdr:row>
      <xdr:rowOff>165100</xdr:rowOff>
    </xdr:from>
    <xdr:to>
      <xdr:col>25</xdr:col>
      <xdr:colOff>3588</xdr:colOff>
      <xdr:row>6</xdr:row>
      <xdr:rowOff>127000</xdr:rowOff>
    </xdr:to>
    <xdr:pic>
      <xdr:nvPicPr>
        <xdr:cNvPr id="8" name="Image 7">
          <a:extLst>
            <a:ext uri="{FF2B5EF4-FFF2-40B4-BE49-F238E27FC236}">
              <a16:creationId xmlns:a16="http://schemas.microsoft.com/office/drawing/2014/main" id="{BD93CF11-BC2F-4017-A821-9257DE957EFE}"/>
            </a:ext>
          </a:extLst>
        </xdr:cNvPr>
        <xdr:cNvPicPr>
          <a:picLocks noChangeAspect="1"/>
        </xdr:cNvPicPr>
      </xdr:nvPicPr>
      <xdr:blipFill>
        <a:blip xmlns:r="http://schemas.openxmlformats.org/officeDocument/2006/relationships" r:embed="rId7"/>
        <a:stretch>
          <a:fillRect/>
        </a:stretch>
      </xdr:blipFill>
      <xdr:spPr>
        <a:xfrm>
          <a:off x="22685375" y="1022350"/>
          <a:ext cx="844963" cy="609600"/>
        </a:xfrm>
        <a:prstGeom prst="rect">
          <a:avLst/>
        </a:prstGeom>
      </xdr:spPr>
    </xdr:pic>
    <xdr:clientData/>
  </xdr:twoCellAnchor>
  <xdr:twoCellAnchor editAs="oneCell">
    <xdr:from>
      <xdr:col>40</xdr:col>
      <xdr:colOff>593725</xdr:colOff>
      <xdr:row>5</xdr:row>
      <xdr:rowOff>82550</xdr:rowOff>
    </xdr:from>
    <xdr:to>
      <xdr:col>41</xdr:col>
      <xdr:colOff>546221</xdr:colOff>
      <xdr:row>6</xdr:row>
      <xdr:rowOff>298534</xdr:rowOff>
    </xdr:to>
    <xdr:pic>
      <xdr:nvPicPr>
        <xdr:cNvPr id="9" name="Image 8">
          <a:extLst>
            <a:ext uri="{FF2B5EF4-FFF2-40B4-BE49-F238E27FC236}">
              <a16:creationId xmlns:a16="http://schemas.microsoft.com/office/drawing/2014/main" id="{B12E0C6F-46EC-4673-BC75-81BE34D501C8}"/>
            </a:ext>
          </a:extLst>
        </xdr:cNvPr>
        <xdr:cNvPicPr>
          <a:picLocks noChangeAspect="1"/>
        </xdr:cNvPicPr>
      </xdr:nvPicPr>
      <xdr:blipFill>
        <a:blip xmlns:r="http://schemas.openxmlformats.org/officeDocument/2006/relationships" r:embed="rId8"/>
        <a:stretch>
          <a:fillRect/>
        </a:stretch>
      </xdr:blipFill>
      <xdr:spPr>
        <a:xfrm>
          <a:off x="40151050" y="1206500"/>
          <a:ext cx="866896" cy="59698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2.xml.rels><?xml version="1.0" encoding="UTF-8" standalone="yes"?>
<Relationships xmlns="http://schemas.openxmlformats.org/package/2006/relationships"><Relationship Id="rId8" Type="http://schemas.openxmlformats.org/officeDocument/2006/relationships/hyperlink" Target="http://www.uprt.fr/mesimages/fichiers-uprt/hop-alimentation/hop-photos-quantit%C3%A9s.pdf" TargetMode="External"/><Relationship Id="rId3" Type="http://schemas.openxmlformats.org/officeDocument/2006/relationships/hyperlink" Target="https://bepo.fr/wiki/Menu" TargetMode="External"/><Relationship Id="rId7" Type="http://schemas.openxmlformats.org/officeDocument/2006/relationships/hyperlink" Target="https://everything.fr.softonic.com/" TargetMode="External"/><Relationship Id="rId12" Type="http://schemas.openxmlformats.org/officeDocument/2006/relationships/drawing" Target="../drawings/drawing1.xml"/><Relationship Id="rId2" Type="http://schemas.openxmlformats.org/officeDocument/2006/relationships/hyperlink" Target="https://bepo.fr/wiki/Manuel" TargetMode="External"/><Relationship Id="rId1" Type="http://schemas.openxmlformats.org/officeDocument/2006/relationships/hyperlink" Target="http://www.symbole-clavier.com/" TargetMode="External"/><Relationship Id="rId6" Type="http://schemas.openxmlformats.org/officeDocument/2006/relationships/hyperlink" Target="https://www.youtube.com/watch?v=BEAwIv4fIw4" TargetMode="External"/><Relationship Id="rId11" Type="http://schemas.openxmlformats.org/officeDocument/2006/relationships/printerSettings" Target="../printerSettings/printerSettings1.bin"/><Relationship Id="rId5" Type="http://schemas.openxmlformats.org/officeDocument/2006/relationships/hyperlink" Target="https://www.premiers-clics.fr/cours-informatique/windows-convertir-un-cd-en-fichiers-mp3/" TargetMode="External"/><Relationship Id="rId10" Type="http://schemas.openxmlformats.org/officeDocument/2006/relationships/hyperlink" Target="https://www.youtube.com/watch?v=2TmdhLLUsOQ" TargetMode="External"/><Relationship Id="rId4" Type="http://schemas.openxmlformats.org/officeDocument/2006/relationships/hyperlink" Target="https://www.premiers-clics.fr/cours-informatique/windows-les-fonctionnalites-du-clavier/" TargetMode="External"/><Relationship Id="rId9" Type="http://schemas.openxmlformats.org/officeDocument/2006/relationships/hyperlink" Target="http://www.diet-life.fr/visuellement-100-calor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A8BC-F8DC-4EFD-AAB4-F7ADCEDBB2B3}">
  <sheetPr codeName="Feuil2"/>
  <dimension ref="A1:AF643"/>
  <sheetViews>
    <sheetView workbookViewId="0">
      <selection activeCell="B3" sqref="B3"/>
    </sheetView>
  </sheetViews>
  <sheetFormatPr baseColWidth="10" defaultRowHeight="15" x14ac:dyDescent="0.25"/>
  <cols>
    <col min="1" max="1" width="21.7109375" style="3" customWidth="1"/>
    <col min="2" max="2" width="11.42578125" style="3"/>
    <col min="3" max="3" width="52.5703125" style="3" customWidth="1"/>
    <col min="4" max="4" width="76.7109375" style="3" customWidth="1"/>
    <col min="5" max="12" width="30.7109375" style="3" customWidth="1"/>
    <col min="13" max="13" width="11.42578125" style="3"/>
    <col min="14" max="14" width="53.7109375" style="3" customWidth="1"/>
    <col min="15" max="25" width="30.7109375" style="3" customWidth="1"/>
    <col min="26" max="16384" width="11.42578125" style="3"/>
  </cols>
  <sheetData>
    <row r="1" spans="1:32" x14ac:dyDescent="0.25">
      <c r="A1" s="57"/>
      <c r="B1" s="57"/>
      <c r="C1" s="57"/>
      <c r="D1" s="57"/>
      <c r="E1" s="57"/>
      <c r="F1" s="57"/>
      <c r="G1" s="57"/>
      <c r="H1" s="57"/>
      <c r="I1" s="57"/>
    </row>
    <row r="2" spans="1:32" x14ac:dyDescent="0.25">
      <c r="A2" s="57"/>
      <c r="B2" s="57"/>
      <c r="C2" s="57"/>
      <c r="D2" s="57"/>
      <c r="E2" s="57"/>
      <c r="F2" s="57"/>
      <c r="G2" s="57"/>
      <c r="H2" s="57"/>
      <c r="I2" s="272"/>
    </row>
    <row r="3" spans="1:32" ht="15.75" x14ac:dyDescent="0.25">
      <c r="A3" s="57"/>
      <c r="B3" s="98" t="s">
        <v>5193</v>
      </c>
      <c r="C3" s="57"/>
      <c r="D3" s="57"/>
      <c r="E3" s="57"/>
      <c r="F3" s="57"/>
      <c r="G3" s="57"/>
      <c r="H3" s="57"/>
      <c r="I3" s="333"/>
    </row>
    <row r="4" spans="1:32" x14ac:dyDescent="0.25">
      <c r="A4" s="57"/>
      <c r="B4" s="57"/>
      <c r="C4" s="57"/>
      <c r="D4" s="57"/>
      <c r="E4" s="57"/>
      <c r="F4" s="57"/>
      <c r="G4" s="57"/>
      <c r="H4" s="57"/>
      <c r="I4" s="333"/>
    </row>
    <row r="5" spans="1:32" ht="21" x14ac:dyDescent="0.25">
      <c r="A5" s="57"/>
      <c r="B5" s="334" t="s">
        <v>4427</v>
      </c>
      <c r="C5" s="57"/>
      <c r="D5" s="334"/>
      <c r="E5" s="273"/>
      <c r="F5" s="57"/>
      <c r="G5" s="57"/>
      <c r="H5" s="57"/>
      <c r="I5" s="335"/>
    </row>
    <row r="6" spans="1:32" x14ac:dyDescent="0.25">
      <c r="A6" s="57"/>
      <c r="B6" s="57"/>
      <c r="C6" s="57"/>
      <c r="D6" s="57"/>
      <c r="E6" s="57"/>
      <c r="F6" s="57"/>
      <c r="G6" s="57"/>
      <c r="H6" s="57"/>
      <c r="I6" s="57"/>
    </row>
    <row r="7" spans="1:32" ht="21" x14ac:dyDescent="0.25">
      <c r="A7" s="57"/>
      <c r="B7" s="336" t="s">
        <v>4426</v>
      </c>
      <c r="C7" s="57"/>
      <c r="D7" s="57"/>
      <c r="E7" s="57"/>
      <c r="F7" s="57"/>
      <c r="G7" s="57"/>
      <c r="H7" s="57"/>
      <c r="I7" s="57"/>
    </row>
    <row r="8" spans="1:32" x14ac:dyDescent="0.25">
      <c r="A8" s="57"/>
      <c r="B8" s="57"/>
      <c r="C8" s="57"/>
      <c r="D8" s="57"/>
      <c r="E8" s="57"/>
      <c r="F8" s="57"/>
      <c r="G8" s="57"/>
      <c r="H8" s="57"/>
      <c r="I8" s="57"/>
    </row>
    <row r="9" spans="1:32" ht="21" x14ac:dyDescent="0.25">
      <c r="A9" s="57"/>
      <c r="B9" s="762" t="s">
        <v>4695</v>
      </c>
      <c r="C9" s="57"/>
      <c r="D9" s="57"/>
      <c r="E9" s="57"/>
      <c r="F9" s="57"/>
      <c r="G9" s="57"/>
      <c r="H9" s="57"/>
      <c r="I9" s="57"/>
    </row>
    <row r="10" spans="1:32" x14ac:dyDescent="0.25">
      <c r="A10" s="57"/>
      <c r="B10" s="57"/>
      <c r="C10" s="57"/>
      <c r="D10" s="57"/>
      <c r="E10" s="57"/>
      <c r="F10" s="57"/>
      <c r="G10" s="57"/>
      <c r="H10" s="57"/>
      <c r="I10" s="57"/>
    </row>
    <row r="11" spans="1:32" x14ac:dyDescent="0.25">
      <c r="A11" s="57"/>
      <c r="B11" s="57"/>
      <c r="C11" s="57"/>
      <c r="D11" s="57"/>
      <c r="E11" s="57"/>
      <c r="F11" s="57"/>
      <c r="G11" s="57"/>
      <c r="H11" s="57"/>
      <c r="I11" s="57"/>
    </row>
    <row r="12" spans="1:32" s="158" customFormat="1" ht="27.95" customHeight="1" x14ac:dyDescent="0.25">
      <c r="A12" s="784">
        <v>1</v>
      </c>
      <c r="B12" s="283"/>
      <c r="C12" s="284" t="s">
        <v>3227</v>
      </c>
      <c r="D12" s="297"/>
      <c r="E12" s="297"/>
      <c r="F12" s="297"/>
      <c r="G12" s="297"/>
      <c r="H12" s="297"/>
      <c r="I12" s="297"/>
      <c r="J12" s="298" t="s">
        <v>3607</v>
      </c>
      <c r="K12" s="298"/>
      <c r="L12" s="298"/>
      <c r="M12" s="298"/>
      <c r="N12" s="298"/>
      <c r="O12" s="298"/>
      <c r="P12" s="298"/>
      <c r="Q12" s="299"/>
      <c r="R12" s="299"/>
      <c r="S12" s="299"/>
      <c r="T12" s="299"/>
      <c r="U12" s="299"/>
      <c r="V12" s="300"/>
      <c r="W12" s="299"/>
      <c r="X12" s="300"/>
      <c r="Y12" s="299"/>
      <c r="Z12" s="299"/>
      <c r="AA12" s="300"/>
      <c r="AB12" s="300"/>
      <c r="AC12" s="300"/>
      <c r="AD12" s="301"/>
      <c r="AE12" s="301"/>
      <c r="AF12" s="301"/>
    </row>
    <row r="13" spans="1:32" s="158" customFormat="1" ht="35.1" customHeight="1" x14ac:dyDescent="0.25">
      <c r="A13" s="784"/>
      <c r="B13" s="283"/>
      <c r="C13" s="827" t="s">
        <v>2226</v>
      </c>
      <c r="D13" s="827"/>
      <c r="E13" s="827"/>
      <c r="F13" s="827"/>
      <c r="G13" s="827"/>
      <c r="H13" s="827"/>
      <c r="I13" s="828"/>
      <c r="J13" s="829" t="s">
        <v>3608</v>
      </c>
      <c r="K13" s="830"/>
      <c r="L13" s="830"/>
      <c r="M13" s="830"/>
      <c r="N13" s="830"/>
      <c r="O13" s="830"/>
      <c r="P13" s="830"/>
      <c r="R13" s="302"/>
      <c r="U13" s="303" t="s">
        <v>3988</v>
      </c>
      <c r="V13" s="304"/>
      <c r="W13" s="305"/>
      <c r="X13" s="304"/>
      <c r="Y13" s="305"/>
      <c r="Z13" s="306" t="s">
        <v>3594</v>
      </c>
      <c r="AA13" s="306" t="s">
        <v>2409</v>
      </c>
      <c r="AB13" s="306"/>
      <c r="AC13" s="303" t="s">
        <v>3605</v>
      </c>
      <c r="AD13" s="307"/>
      <c r="AE13" s="307"/>
      <c r="AF13" s="307"/>
    </row>
    <row r="14" spans="1:32" s="158" customFormat="1" ht="45" customHeight="1" thickBot="1" x14ac:dyDescent="0.3">
      <c r="A14" s="784"/>
      <c r="B14" s="283"/>
      <c r="C14" s="315" t="s">
        <v>2227</v>
      </c>
      <c r="D14" s="831" t="s">
        <v>4394</v>
      </c>
      <c r="E14" s="831"/>
      <c r="F14" s="831"/>
      <c r="G14" s="831"/>
      <c r="H14" s="831"/>
      <c r="I14" s="832"/>
      <c r="J14" s="308" t="s">
        <v>3614</v>
      </c>
      <c r="K14" s="316" t="s">
        <v>3615</v>
      </c>
      <c r="L14" s="317"/>
      <c r="M14" s="317"/>
      <c r="N14" s="317"/>
      <c r="O14" s="317"/>
      <c r="P14" s="318"/>
      <c r="Q14" s="309"/>
      <c r="R14" s="309"/>
      <c r="S14" s="309"/>
      <c r="T14" s="310"/>
      <c r="U14" s="312" t="s">
        <v>4395</v>
      </c>
      <c r="V14" s="311"/>
      <c r="W14" s="309"/>
      <c r="X14" s="311"/>
      <c r="Y14" s="309"/>
      <c r="Z14" s="313" t="s">
        <v>3601</v>
      </c>
      <c r="AA14" s="309" t="s">
        <v>3602</v>
      </c>
      <c r="AB14" s="309"/>
      <c r="AC14" s="312" t="s">
        <v>4396</v>
      </c>
      <c r="AD14" s="314"/>
      <c r="AE14" s="314"/>
      <c r="AF14" s="314"/>
    </row>
    <row r="15" spans="1:32" s="158" customFormat="1" ht="27.95" customHeight="1" x14ac:dyDescent="0.25">
      <c r="A15" s="784"/>
      <c r="B15" s="283"/>
      <c r="C15" s="285" t="s">
        <v>1719</v>
      </c>
      <c r="D15" s="285" t="s">
        <v>2228</v>
      </c>
      <c r="E15" s="285" t="s">
        <v>2229</v>
      </c>
      <c r="F15" s="285" t="s">
        <v>2230</v>
      </c>
      <c r="G15" s="285" t="s">
        <v>2231</v>
      </c>
      <c r="H15" s="285" t="s">
        <v>2232</v>
      </c>
      <c r="I15" s="286" t="s">
        <v>2233</v>
      </c>
      <c r="J15" s="319" t="s">
        <v>1719</v>
      </c>
      <c r="K15" s="319" t="s">
        <v>3616</v>
      </c>
      <c r="L15" s="319" t="s">
        <v>3617</v>
      </c>
      <c r="M15" s="319" t="s">
        <v>2411</v>
      </c>
      <c r="N15" s="286" t="s">
        <v>3618</v>
      </c>
      <c r="O15" s="320" t="s">
        <v>2471</v>
      </c>
      <c r="P15" s="320" t="s">
        <v>2168</v>
      </c>
      <c r="Q15" s="321"/>
      <c r="R15" s="321"/>
      <c r="S15" s="322" t="s">
        <v>1719</v>
      </c>
      <c r="T15" s="322" t="s">
        <v>2229</v>
      </c>
      <c r="U15" s="322" t="s">
        <v>3619</v>
      </c>
      <c r="V15" s="322" t="s">
        <v>3620</v>
      </c>
      <c r="W15" s="322" t="s">
        <v>2231</v>
      </c>
      <c r="X15" s="322" t="s">
        <v>3617</v>
      </c>
      <c r="Y15" s="322" t="s">
        <v>3621</v>
      </c>
      <c r="Z15" s="322" t="s">
        <v>2783</v>
      </c>
      <c r="AA15" s="322" t="s">
        <v>3622</v>
      </c>
      <c r="AB15" s="322" t="s">
        <v>3623</v>
      </c>
      <c r="AC15" s="322" t="s">
        <v>3624</v>
      </c>
      <c r="AD15" s="314"/>
      <c r="AE15" s="314"/>
      <c r="AF15" s="314"/>
    </row>
    <row r="16" spans="1:32" s="158" customFormat="1" ht="42" customHeight="1" x14ac:dyDescent="0.25">
      <c r="A16" s="784"/>
      <c r="B16" s="283"/>
      <c r="C16" s="287" t="s">
        <v>2234</v>
      </c>
      <c r="D16" s="288" t="s">
        <v>1442</v>
      </c>
      <c r="E16" s="288" t="s">
        <v>2169</v>
      </c>
      <c r="F16" s="288" t="s">
        <v>92</v>
      </c>
      <c r="G16" s="289" t="str">
        <f t="shared" ref="G16" si="0">IF($D$4="","",IF(ISNUMBER(SEARCH(" "&amp;LOWER(D16)&amp;" "," "&amp;$D$5&amp;" ")),"OUI",""))</f>
        <v/>
      </c>
      <c r="H16" s="290" t="s">
        <v>2235</v>
      </c>
      <c r="I16" s="291" t="s">
        <v>2236</v>
      </c>
      <c r="J16" s="323" t="s">
        <v>3625</v>
      </c>
      <c r="K16" s="324">
        <f>COUNTIFS($S$11:$S$66,$J16,$W$11:$W$66,"OUI")</f>
        <v>0</v>
      </c>
      <c r="L16" s="324">
        <f>SUMIFS($X$11:$X$66,$S$11:$S$66,$J16,$W$11:$W$66,"OUI")</f>
        <v>0</v>
      </c>
      <c r="M16" s="324" t="str">
        <f t="shared" ref="M16" si="1">IF($K16=0,"Non détecté",IF($L16&gt;=4,"Fort","Détecté"))</f>
        <v>Non détecté</v>
      </c>
      <c r="N16" s="325" t="str">
        <f>IF($K16=0,"",IFERROR(INDEX($U$11:$U$66,MATCH($J16,$AC$11:$AC$66,0)),""))</f>
        <v/>
      </c>
      <c r="O16" s="323" t="s">
        <v>3626</v>
      </c>
      <c r="P16" s="323" t="s">
        <v>3627</v>
      </c>
      <c r="S16" s="295"/>
      <c r="T16" s="293"/>
      <c r="U16" s="293"/>
      <c r="V16" s="292"/>
      <c r="W16" s="293"/>
      <c r="X16" s="292"/>
      <c r="Y16" s="293"/>
      <c r="Z16" s="294"/>
      <c r="AA16" s="326"/>
      <c r="AB16" s="327"/>
      <c r="AC16" s="328"/>
    </row>
    <row r="18" spans="1:31" ht="21" customHeight="1" x14ac:dyDescent="0.25">
      <c r="A18" s="332"/>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row>
    <row r="20" spans="1:31" customFormat="1" ht="30" customHeight="1" x14ac:dyDescent="0.25">
      <c r="A20" s="784">
        <v>2</v>
      </c>
      <c r="B20" s="269"/>
      <c r="C20" s="267" t="s">
        <v>3552</v>
      </c>
      <c r="D20" s="267"/>
      <c r="E20" s="267"/>
      <c r="F20" s="267"/>
      <c r="G20" s="268" t="s">
        <v>3490</v>
      </c>
      <c r="H20" s="269"/>
      <c r="I20" s="269"/>
      <c r="J20" s="269"/>
      <c r="K20" s="269"/>
      <c r="L20" s="269"/>
      <c r="M20" s="269"/>
      <c r="N20" s="272"/>
      <c r="O20" s="272"/>
      <c r="P20" s="272"/>
      <c r="Q20" s="272"/>
      <c r="R20" s="272"/>
      <c r="S20" s="272"/>
      <c r="T20" s="272"/>
      <c r="U20" s="272"/>
      <c r="V20" s="272"/>
    </row>
    <row r="21" spans="1:31" customFormat="1" ht="30" customHeight="1" x14ac:dyDescent="0.25">
      <c r="A21" s="784"/>
      <c r="B21" s="269"/>
      <c r="C21" s="329" t="s">
        <v>4403</v>
      </c>
      <c r="D21" s="329"/>
      <c r="E21" s="329"/>
      <c r="F21" s="329"/>
      <c r="G21" s="329"/>
      <c r="H21" s="330"/>
      <c r="I21" s="330"/>
      <c r="J21" s="330"/>
      <c r="K21" s="330"/>
      <c r="L21" s="330"/>
      <c r="M21" s="330"/>
      <c r="N21" s="272"/>
      <c r="O21" s="272"/>
      <c r="P21" s="272"/>
      <c r="Q21" s="272"/>
      <c r="R21" s="272"/>
      <c r="S21" s="272"/>
      <c r="T21" s="272"/>
      <c r="U21" s="272"/>
      <c r="V21" s="272"/>
    </row>
    <row r="22" spans="1:31" customFormat="1" ht="30" customHeight="1" x14ac:dyDescent="0.25">
      <c r="A22" s="784"/>
      <c r="B22" s="269"/>
      <c r="C22" s="212" t="s">
        <v>3491</v>
      </c>
      <c r="D22" s="826" t="s">
        <v>3492</v>
      </c>
      <c r="E22" s="826"/>
      <c r="F22" s="826"/>
      <c r="G22" s="274"/>
      <c r="H22" s="272"/>
      <c r="I22" s="272"/>
      <c r="J22" s="272"/>
      <c r="K22" s="272"/>
      <c r="L22" s="272"/>
      <c r="M22" s="272"/>
      <c r="N22" s="272"/>
      <c r="O22" s="272"/>
      <c r="P22" s="272"/>
      <c r="Q22" s="272"/>
      <c r="R22" s="272"/>
      <c r="S22" s="272"/>
      <c r="T22" s="272"/>
      <c r="U22" s="272"/>
      <c r="V22" s="272"/>
    </row>
    <row r="23" spans="1:31" customFormat="1" ht="30" customHeight="1" x14ac:dyDescent="0.25">
      <c r="A23" s="784"/>
      <c r="B23" s="271">
        <v>1</v>
      </c>
      <c r="C23" s="833" t="s">
        <v>3363</v>
      </c>
      <c r="D23" s="834"/>
      <c r="E23" s="834"/>
      <c r="F23" s="835"/>
      <c r="G23" s="836" t="str">
        <f>C23</f>
        <v>Achat tofu : choisir tofu ferme pour sauté, tofu soyeux pour sauce ou dessert, déclarer soja et tester acceptation avant achat massif.</v>
      </c>
      <c r="H23" s="836"/>
      <c r="I23" s="836"/>
      <c r="J23" s="836"/>
      <c r="K23" s="836"/>
      <c r="L23" s="836"/>
      <c r="M23" s="836"/>
      <c r="N23" s="836"/>
      <c r="O23" s="836"/>
      <c r="P23" s="836"/>
      <c r="Q23" s="836"/>
      <c r="R23" s="836"/>
      <c r="S23" s="836"/>
      <c r="T23" s="836"/>
      <c r="U23" s="836"/>
      <c r="V23" s="837"/>
    </row>
    <row r="25" spans="1:31" ht="21" customHeight="1" x14ac:dyDescent="0.25">
      <c r="A25" s="332"/>
      <c r="B25" s="3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row>
    <row r="27" spans="1:31" customFormat="1" ht="23.25" customHeight="1" x14ac:dyDescent="0.25">
      <c r="A27" s="784">
        <v>3</v>
      </c>
      <c r="B27" s="269"/>
      <c r="C27" s="817" t="s">
        <v>4404</v>
      </c>
      <c r="D27" s="817"/>
      <c r="E27" s="817"/>
      <c r="F27" s="817"/>
    </row>
    <row r="28" spans="1:31" customFormat="1" ht="30" customHeight="1" x14ac:dyDescent="0.25">
      <c r="A28" s="784"/>
      <c r="B28" s="271">
        <v>1</v>
      </c>
      <c r="C28" s="818" t="s">
        <v>3729</v>
      </c>
      <c r="D28" s="819"/>
      <c r="E28" s="819"/>
      <c r="F28" s="819"/>
      <c r="G28" s="331" t="str">
        <f>C28</f>
        <v>Le plat était trop sec, il fallait plus de sauce.</v>
      </c>
    </row>
    <row r="29" spans="1:31" customFormat="1" ht="15.75" x14ac:dyDescent="0.25">
      <c r="A29" s="784"/>
      <c r="B29" s="271"/>
      <c r="C29" s="282" t="s">
        <v>4239</v>
      </c>
      <c r="D29" s="281" t="s">
        <v>3990</v>
      </c>
      <c r="E29" s="272"/>
      <c r="F29" s="272"/>
    </row>
    <row r="30" spans="1:31" customFormat="1" ht="15.75" x14ac:dyDescent="0.25">
      <c r="A30" s="784"/>
      <c r="B30" s="271"/>
      <c r="C30" s="282" t="s">
        <v>3557</v>
      </c>
      <c r="D30" s="281" t="s">
        <v>979</v>
      </c>
      <c r="E30" s="272"/>
      <c r="F30" s="272"/>
    </row>
    <row r="31" spans="1:31" customFormat="1" ht="15.75" x14ac:dyDescent="0.25">
      <c r="A31" s="784"/>
      <c r="B31" s="271"/>
      <c r="C31" s="282" t="s">
        <v>3558</v>
      </c>
      <c r="D31" s="281" t="s">
        <v>3991</v>
      </c>
      <c r="E31" s="272"/>
      <c r="F31" s="272"/>
    </row>
    <row r="32" spans="1:31" customFormat="1" ht="15.75" x14ac:dyDescent="0.25">
      <c r="A32" s="784"/>
      <c r="B32" s="271"/>
      <c r="C32" s="282" t="s">
        <v>3559</v>
      </c>
      <c r="D32" s="281" t="s">
        <v>3992</v>
      </c>
    </row>
    <row r="34" spans="1:32" ht="21" customHeight="1" x14ac:dyDescent="0.25">
      <c r="A34" s="332"/>
      <c r="B34" s="332"/>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row>
    <row r="35" spans="1:32" ht="19.5" customHeight="1" x14ac:dyDescent="0.25"/>
    <row r="36" spans="1:32" s="28" customFormat="1" ht="27.95" customHeight="1" x14ac:dyDescent="0.25">
      <c r="A36" s="784">
        <v>4</v>
      </c>
      <c r="B36" s="820" t="s">
        <v>2828</v>
      </c>
      <c r="C36" s="821"/>
      <c r="D36" s="821"/>
      <c r="E36" s="261" t="s">
        <v>4406</v>
      </c>
      <c r="F36" s="261"/>
      <c r="G36" s="261" t="s">
        <v>4407</v>
      </c>
      <c r="H36" s="262"/>
      <c r="I36" s="263" t="s">
        <v>4408</v>
      </c>
      <c r="J36" s="261" t="s">
        <v>4410</v>
      </c>
      <c r="K36" s="262"/>
      <c r="L36" s="262"/>
      <c r="M36" s="262"/>
      <c r="N36" s="262"/>
      <c r="O36" s="262"/>
      <c r="P36" s="262"/>
      <c r="Q36" s="262"/>
      <c r="R36" s="262"/>
      <c r="S36" s="262"/>
      <c r="T36" s="262"/>
      <c r="U36" s="262"/>
      <c r="V36" s="262"/>
      <c r="W36" s="262"/>
      <c r="X36" s="262"/>
      <c r="Y36" s="262"/>
      <c r="Z36" s="262"/>
      <c r="AA36" s="262"/>
      <c r="AB36" s="262"/>
      <c r="AC36" s="262"/>
      <c r="AD36" s="262"/>
      <c r="AE36" s="262"/>
      <c r="AF36" s="264"/>
    </row>
    <row r="37" spans="1:32" s="28" customFormat="1" ht="33.950000000000003" customHeight="1" x14ac:dyDescent="0.25">
      <c r="A37" s="784"/>
      <c r="B37" s="216" t="s">
        <v>4409</v>
      </c>
      <c r="C37" s="96"/>
      <c r="D37" s="96"/>
      <c r="E37" s="96"/>
      <c r="F37" s="96"/>
      <c r="G37" s="96"/>
      <c r="H37" s="97"/>
      <c r="I37" s="70" t="s">
        <v>2551</v>
      </c>
      <c r="J37" s="90"/>
      <c r="K37" s="90"/>
      <c r="L37" s="90"/>
      <c r="M37" s="90"/>
      <c r="N37" s="90"/>
      <c r="O37" s="90"/>
      <c r="P37" s="90"/>
      <c r="Q37" s="90"/>
      <c r="R37" s="90"/>
      <c r="S37" s="96"/>
      <c r="T37" s="97"/>
      <c r="U37" s="87"/>
      <c r="V37" s="87"/>
      <c r="W37" s="87"/>
      <c r="X37" s="87"/>
      <c r="Y37" s="87"/>
      <c r="Z37" s="87"/>
      <c r="AA37" s="87"/>
      <c r="AB37" s="87"/>
      <c r="AC37" s="87"/>
      <c r="AD37" s="87"/>
      <c r="AE37" s="87"/>
      <c r="AF37" s="87"/>
    </row>
    <row r="38" spans="1:32" x14ac:dyDescent="0.25">
      <c r="A38" s="784"/>
    </row>
    <row r="39" spans="1:32" s="28" customFormat="1" ht="30" customHeight="1" x14ac:dyDescent="0.25">
      <c r="A39" s="784"/>
      <c r="B39" s="265" t="s">
        <v>1959</v>
      </c>
      <c r="C39" s="265" t="s">
        <v>2497</v>
      </c>
      <c r="D39" s="265" t="s">
        <v>2498</v>
      </c>
      <c r="E39" s="265" t="s">
        <v>2499</v>
      </c>
      <c r="F39" s="265" t="s">
        <v>1960</v>
      </c>
      <c r="G39" s="265" t="s">
        <v>2500</v>
      </c>
      <c r="H39" s="265" t="s">
        <v>2501</v>
      </c>
      <c r="I39" s="265" t="s">
        <v>1961</v>
      </c>
      <c r="J39" s="265" t="s">
        <v>1962</v>
      </c>
      <c r="K39" s="265" t="s">
        <v>2502</v>
      </c>
      <c r="L39" s="265" t="s">
        <v>2503</v>
      </c>
      <c r="M39" s="265" t="s">
        <v>2504</v>
      </c>
      <c r="N39" s="265" t="s">
        <v>2505</v>
      </c>
      <c r="O39" s="265" t="s">
        <v>2506</v>
      </c>
      <c r="P39" s="265" t="s">
        <v>2507</v>
      </c>
      <c r="Q39" s="265" t="s">
        <v>2508</v>
      </c>
      <c r="R39" s="265" t="s">
        <v>2509</v>
      </c>
      <c r="S39" s="265" t="s">
        <v>2510</v>
      </c>
      <c r="U39" s="75" t="s">
        <v>2772</v>
      </c>
      <c r="V39" s="75" t="s">
        <v>2773</v>
      </c>
      <c r="W39" s="75" t="s">
        <v>2774</v>
      </c>
      <c r="X39" s="75" t="s">
        <v>2775</v>
      </c>
      <c r="Y39" s="75" t="s">
        <v>2776</v>
      </c>
      <c r="Z39" s="75" t="s">
        <v>2777</v>
      </c>
      <c r="AA39" s="75" t="s">
        <v>2778</v>
      </c>
      <c r="AB39" s="75" t="s">
        <v>2779</v>
      </c>
      <c r="AC39" s="75" t="s">
        <v>2780</v>
      </c>
      <c r="AD39" s="75" t="s">
        <v>2781</v>
      </c>
      <c r="AE39" s="75" t="s">
        <v>2782</v>
      </c>
      <c r="AF39" s="75" t="s">
        <v>2783</v>
      </c>
    </row>
    <row r="40" spans="1:32" s="28" customFormat="1" ht="54" customHeight="1" x14ac:dyDescent="0.25">
      <c r="A40" s="784"/>
      <c r="B40" s="61" t="s">
        <v>1963</v>
      </c>
      <c r="C40" s="76">
        <v>4</v>
      </c>
      <c r="D40" s="62">
        <v>16</v>
      </c>
      <c r="E40" s="62">
        <v>64800</v>
      </c>
      <c r="F40" s="62">
        <v>4</v>
      </c>
      <c r="G40" s="62">
        <v>16200</v>
      </c>
      <c r="H40" s="76">
        <v>3</v>
      </c>
      <c r="I40" s="76">
        <v>0</v>
      </c>
      <c r="J40" s="76">
        <v>0</v>
      </c>
      <c r="K40" s="77">
        <v>0.88</v>
      </c>
      <c r="L40" s="77">
        <v>1.42</v>
      </c>
      <c r="M40" s="63">
        <v>14256</v>
      </c>
      <c r="N40" s="63">
        <v>23004</v>
      </c>
      <c r="O40" s="63">
        <v>8748</v>
      </c>
      <c r="P40" s="76">
        <v>68</v>
      </c>
      <c r="Q40" s="78">
        <v>76</v>
      </c>
      <c r="R40" s="58" t="s">
        <v>2511</v>
      </c>
      <c r="S40" s="58" t="s">
        <v>2512</v>
      </c>
      <c r="U40" s="79" t="s">
        <v>4411</v>
      </c>
      <c r="V40" s="79" t="s">
        <v>4412</v>
      </c>
      <c r="W40" s="79" t="s">
        <v>4413</v>
      </c>
      <c r="X40" s="79" t="s">
        <v>4414</v>
      </c>
      <c r="Y40" s="79" t="s">
        <v>4415</v>
      </c>
      <c r="Z40" s="79" t="s">
        <v>4416</v>
      </c>
      <c r="AA40" s="79" t="s">
        <v>4417</v>
      </c>
      <c r="AB40" s="79" t="s">
        <v>4418</v>
      </c>
      <c r="AC40" s="79" t="s">
        <v>4419</v>
      </c>
      <c r="AD40" s="79" t="s">
        <v>4420</v>
      </c>
      <c r="AE40" s="79" t="s">
        <v>4421</v>
      </c>
      <c r="AF40" s="79" t="s">
        <v>4422</v>
      </c>
    </row>
    <row r="42" spans="1:32" ht="21" customHeight="1" x14ac:dyDescent="0.25">
      <c r="A42" s="332"/>
      <c r="B42" s="332"/>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row>
    <row r="44" spans="1:32" s="99" customFormat="1" ht="30" customHeight="1" x14ac:dyDescent="0.25">
      <c r="A44" s="784">
        <v>5</v>
      </c>
      <c r="B44" s="822" t="s">
        <v>2830</v>
      </c>
      <c r="C44" s="823"/>
      <c r="D44" s="823"/>
      <c r="E44" s="823"/>
      <c r="F44" s="823"/>
      <c r="G44" s="824"/>
    </row>
    <row r="45" spans="1:32" s="99" customFormat="1" ht="30" customHeight="1" x14ac:dyDescent="0.25">
      <c r="A45" s="784"/>
      <c r="B45" s="825" t="s">
        <v>2960</v>
      </c>
      <c r="C45" s="825"/>
      <c r="D45" s="825"/>
      <c r="E45" s="825"/>
      <c r="F45" s="825"/>
      <c r="G45" s="825"/>
    </row>
    <row r="46" spans="1:32" s="99" customFormat="1" ht="35.1" customHeight="1" x14ac:dyDescent="0.25">
      <c r="A46" s="784"/>
      <c r="B46" s="127" t="s">
        <v>2959</v>
      </c>
      <c r="C46" s="809" t="s">
        <v>2958</v>
      </c>
      <c r="D46" s="810"/>
      <c r="E46" s="126" t="s">
        <v>2957</v>
      </c>
      <c r="F46" s="125" t="s">
        <v>2956</v>
      </c>
      <c r="G46" s="124"/>
    </row>
    <row r="47" spans="1:32" s="99" customFormat="1" ht="35.1" customHeight="1" x14ac:dyDescent="0.25">
      <c r="A47" s="784"/>
      <c r="B47" s="123" t="s">
        <v>2955</v>
      </c>
      <c r="C47" s="811" t="s">
        <v>2954</v>
      </c>
      <c r="D47" s="812"/>
      <c r="E47" s="122" t="s">
        <v>2831</v>
      </c>
      <c r="F47" s="121" t="s">
        <v>2953</v>
      </c>
      <c r="G47" s="120"/>
    </row>
    <row r="48" spans="1:32" s="99" customFormat="1" ht="35.1" customHeight="1" x14ac:dyDescent="0.25">
      <c r="A48" s="784"/>
      <c r="B48" s="119" t="s">
        <v>2952</v>
      </c>
      <c r="C48" s="813" t="s">
        <v>2951</v>
      </c>
      <c r="D48" s="814"/>
      <c r="E48" s="118" t="s">
        <v>2950</v>
      </c>
      <c r="F48" s="117" t="s">
        <v>2949</v>
      </c>
      <c r="G48" s="116"/>
    </row>
    <row r="49" spans="1:31" s="99" customFormat="1" x14ac:dyDescent="0.25">
      <c r="A49" s="784"/>
      <c r="B49" s="115"/>
      <c r="C49" s="115"/>
      <c r="D49" s="115"/>
      <c r="E49" s="115"/>
      <c r="F49" s="115"/>
      <c r="G49" s="115"/>
    </row>
    <row r="50" spans="1:31" s="99" customFormat="1" ht="32.1" customHeight="1" x14ac:dyDescent="0.25">
      <c r="A50" s="784"/>
      <c r="B50" s="114" t="s">
        <v>2832</v>
      </c>
      <c r="C50" s="248" t="s">
        <v>2948</v>
      </c>
      <c r="D50" s="113" t="s">
        <v>2833</v>
      </c>
      <c r="E50" s="113" t="s">
        <v>2834</v>
      </c>
      <c r="F50" s="113" t="s">
        <v>2835</v>
      </c>
      <c r="G50" s="112" t="s">
        <v>2836</v>
      </c>
    </row>
    <row r="51" spans="1:31" s="99" customFormat="1" ht="38.1" customHeight="1" x14ac:dyDescent="0.25">
      <c r="A51" s="784"/>
      <c r="B51" s="107">
        <v>1</v>
      </c>
      <c r="C51" s="111" t="s">
        <v>2947</v>
      </c>
      <c r="D51" s="110" t="s">
        <v>2837</v>
      </c>
      <c r="E51" s="109"/>
      <c r="F51" s="108" t="s">
        <v>2946</v>
      </c>
      <c r="G51" s="108" t="s">
        <v>2838</v>
      </c>
    </row>
    <row r="53" spans="1:31" ht="21" customHeight="1" x14ac:dyDescent="0.25">
      <c r="A53" s="332"/>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row>
    <row r="55" spans="1:31" s="99" customFormat="1" ht="30" customHeight="1" x14ac:dyDescent="0.25">
      <c r="A55" s="784">
        <v>6</v>
      </c>
      <c r="B55" s="804" t="s">
        <v>2961</v>
      </c>
      <c r="C55" s="805"/>
      <c r="D55" s="805"/>
      <c r="E55" s="805"/>
      <c r="F55" s="805"/>
      <c r="G55" s="249" t="s">
        <v>2962</v>
      </c>
      <c r="H55" s="250"/>
      <c r="I55" s="250"/>
      <c r="J55" s="250"/>
      <c r="K55" s="249"/>
      <c r="L55" s="250"/>
      <c r="M55" s="250"/>
      <c r="N55" s="251"/>
    </row>
    <row r="56" spans="1:31" s="99" customFormat="1" ht="27.95" customHeight="1" x14ac:dyDescent="0.25">
      <c r="A56" s="784"/>
      <c r="B56" s="128" t="s">
        <v>2113</v>
      </c>
      <c r="C56" s="129" t="s">
        <v>2963</v>
      </c>
      <c r="D56" s="130"/>
      <c r="E56" s="130"/>
      <c r="F56" s="130"/>
      <c r="G56" s="130"/>
      <c r="H56" s="130"/>
      <c r="I56" s="130"/>
      <c r="J56" s="130"/>
      <c r="K56" s="130"/>
      <c r="L56" s="130"/>
      <c r="M56" s="130"/>
      <c r="N56" s="131"/>
    </row>
    <row r="57" spans="1:31" s="99" customFormat="1" ht="27.95" customHeight="1" x14ac:dyDescent="0.25">
      <c r="A57" s="784"/>
      <c r="B57" s="132" t="s">
        <v>2964</v>
      </c>
      <c r="C57" s="133" t="s">
        <v>2965</v>
      </c>
      <c r="D57" s="134"/>
      <c r="E57" s="134"/>
      <c r="F57" s="134"/>
      <c r="G57" s="134"/>
      <c r="H57" s="134"/>
      <c r="I57" s="134"/>
      <c r="J57" s="134"/>
      <c r="K57" s="134"/>
      <c r="L57" s="134"/>
      <c r="M57" s="134"/>
      <c r="N57" s="135"/>
    </row>
    <row r="58" spans="1:31" s="99" customFormat="1" ht="15.75" x14ac:dyDescent="0.25">
      <c r="A58" s="784"/>
      <c r="B58" s="136"/>
      <c r="C58" s="136"/>
      <c r="D58" s="136"/>
      <c r="E58" s="136"/>
      <c r="F58" s="136"/>
      <c r="M58" s="136"/>
      <c r="N58" s="136"/>
    </row>
    <row r="59" spans="1:31" s="99" customFormat="1" ht="24.95" customHeight="1" x14ac:dyDescent="0.25">
      <c r="A59" s="784"/>
      <c r="B59" s="252" t="s">
        <v>1975</v>
      </c>
      <c r="C59" s="252" t="s">
        <v>2166</v>
      </c>
      <c r="D59" s="252" t="s">
        <v>2587</v>
      </c>
      <c r="E59" s="252" t="s">
        <v>2966</v>
      </c>
      <c r="F59" s="136"/>
      <c r="G59" s="252" t="s">
        <v>2916</v>
      </c>
      <c r="H59" s="252" t="s">
        <v>2468</v>
      </c>
      <c r="I59" s="252" t="s">
        <v>2967</v>
      </c>
      <c r="J59" s="252" t="s">
        <v>2968</v>
      </c>
      <c r="K59" s="252" t="s">
        <v>2969</v>
      </c>
      <c r="M59" s="136"/>
      <c r="N59" s="136"/>
    </row>
    <row r="60" spans="1:31" s="99" customFormat="1" ht="39.950000000000003" customHeight="1" x14ac:dyDescent="0.25">
      <c r="A60" s="784"/>
      <c r="B60" s="137" t="s">
        <v>2970</v>
      </c>
      <c r="C60" s="257">
        <v>5</v>
      </c>
      <c r="D60" s="111" t="s">
        <v>2971</v>
      </c>
      <c r="E60" s="111" t="s">
        <v>2972</v>
      </c>
      <c r="F60" s="136"/>
      <c r="G60" s="138" t="s">
        <v>2840</v>
      </c>
      <c r="H60" s="254">
        <v>3.6</v>
      </c>
      <c r="I60" s="138" t="s">
        <v>2973</v>
      </c>
      <c r="J60" s="139" t="s">
        <v>2891</v>
      </c>
      <c r="K60" s="140">
        <v>3</v>
      </c>
      <c r="M60" s="136"/>
      <c r="N60" s="136"/>
    </row>
    <row r="62" spans="1:31" ht="21" customHeight="1" x14ac:dyDescent="0.25">
      <c r="A62" s="332"/>
      <c r="B62" s="332"/>
      <c r="C62" s="332"/>
      <c r="D62" s="332"/>
      <c r="E62" s="332"/>
      <c r="F62" s="332"/>
      <c r="G62" s="332"/>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row>
    <row r="64" spans="1:31" s="99" customFormat="1" ht="30.95" customHeight="1" x14ac:dyDescent="0.25">
      <c r="A64" s="784">
        <v>7</v>
      </c>
      <c r="B64" s="806" t="s">
        <v>3021</v>
      </c>
      <c r="C64" s="806"/>
      <c r="D64" s="806"/>
      <c r="E64" s="806"/>
      <c r="F64" s="806"/>
      <c r="G64" s="806"/>
    </row>
    <row r="65" spans="1:31" s="99" customFormat="1" ht="24" customHeight="1" x14ac:dyDescent="0.25">
      <c r="A65" s="784"/>
      <c r="B65" s="807" t="s">
        <v>3022</v>
      </c>
      <c r="C65" s="807"/>
      <c r="D65" s="807"/>
      <c r="E65" s="807"/>
      <c r="F65" s="807"/>
      <c r="G65" s="807"/>
    </row>
    <row r="66" spans="1:31" s="99" customFormat="1" x14ac:dyDescent="0.25">
      <c r="A66" s="784"/>
    </row>
    <row r="67" spans="1:31" s="99" customFormat="1" ht="15.75" x14ac:dyDescent="0.25">
      <c r="A67" s="784"/>
      <c r="B67" s="808" t="s">
        <v>3023</v>
      </c>
      <c r="C67" s="808"/>
      <c r="D67" s="808"/>
      <c r="E67" s="808"/>
      <c r="F67" s="808"/>
      <c r="G67" s="808"/>
    </row>
    <row r="68" spans="1:31" s="99" customFormat="1" ht="36" customHeight="1" x14ac:dyDescent="0.25">
      <c r="A68" s="784"/>
      <c r="B68" s="159" t="s">
        <v>2832</v>
      </c>
      <c r="C68" s="159" t="s">
        <v>3024</v>
      </c>
      <c r="D68" s="159" t="s">
        <v>2833</v>
      </c>
      <c r="E68" s="160" t="s">
        <v>3025</v>
      </c>
      <c r="F68" s="219" t="s">
        <v>2835</v>
      </c>
      <c r="G68" s="159" t="s">
        <v>3026</v>
      </c>
    </row>
    <row r="69" spans="1:31" s="99" customFormat="1" ht="50.1" customHeight="1" x14ac:dyDescent="0.25">
      <c r="A69" s="784"/>
      <c r="B69" s="161">
        <v>1</v>
      </c>
      <c r="C69" s="162" t="s">
        <v>3027</v>
      </c>
      <c r="D69" s="162" t="s">
        <v>2880</v>
      </c>
      <c r="E69" s="163">
        <v>46138</v>
      </c>
      <c r="F69" s="162" t="s">
        <v>3028</v>
      </c>
      <c r="G69" s="164" t="s">
        <v>1053</v>
      </c>
    </row>
    <row r="71" spans="1:31" ht="21" customHeight="1" x14ac:dyDescent="0.25">
      <c r="A71" s="332"/>
      <c r="B71" s="332"/>
      <c r="C71" s="332"/>
      <c r="D71" s="332"/>
      <c r="E71" s="332"/>
      <c r="F71" s="332"/>
      <c r="G71" s="332"/>
      <c r="H71" s="332"/>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2"/>
    </row>
    <row r="73" spans="1:31" s="99" customFormat="1" ht="30.95" customHeight="1" x14ac:dyDescent="0.25">
      <c r="A73" s="784">
        <v>8</v>
      </c>
      <c r="B73" s="806" t="s">
        <v>3107</v>
      </c>
      <c r="C73" s="806"/>
      <c r="D73" s="806"/>
      <c r="E73" s="806"/>
      <c r="F73" s="806"/>
      <c r="G73" s="806"/>
      <c r="H73" s="806"/>
      <c r="I73" s="806"/>
      <c r="J73" s="806"/>
      <c r="K73" s="806"/>
      <c r="L73" s="218"/>
      <c r="M73" s="218"/>
      <c r="N73" s="218"/>
      <c r="O73" s="218"/>
      <c r="P73" s="218"/>
      <c r="Q73" s="218"/>
      <c r="R73" s="218"/>
      <c r="S73" s="218"/>
      <c r="T73" s="218"/>
      <c r="U73" s="218"/>
      <c r="V73" s="218"/>
      <c r="W73" s="218"/>
      <c r="X73" s="218"/>
    </row>
    <row r="74" spans="1:31" s="99" customFormat="1" ht="24" customHeight="1" x14ac:dyDescent="0.25">
      <c r="A74" s="784"/>
      <c r="B74" s="815" t="s">
        <v>3108</v>
      </c>
      <c r="C74" s="815"/>
      <c r="D74" s="815"/>
      <c r="E74" s="815"/>
      <c r="F74" s="815"/>
      <c r="G74" s="815"/>
      <c r="H74" s="815"/>
      <c r="I74" s="815"/>
      <c r="J74" s="815"/>
      <c r="K74" s="815"/>
      <c r="L74" s="815"/>
      <c r="M74" s="815"/>
      <c r="N74" s="815"/>
      <c r="O74" s="815"/>
      <c r="P74" s="815"/>
      <c r="Q74" s="815"/>
      <c r="R74" s="815"/>
      <c r="S74" s="815"/>
      <c r="T74" s="815"/>
      <c r="U74" s="815"/>
      <c r="V74" s="815"/>
      <c r="W74" s="815"/>
      <c r="X74" s="815"/>
    </row>
    <row r="75" spans="1:31" s="99" customFormat="1" ht="24" customHeight="1" x14ac:dyDescent="0.25">
      <c r="A75" s="784"/>
      <c r="B75" s="816" t="s">
        <v>3109</v>
      </c>
      <c r="C75" s="816"/>
      <c r="D75" s="816"/>
      <c r="E75" s="816"/>
      <c r="F75" s="816"/>
      <c r="G75" s="816"/>
      <c r="H75" s="816"/>
      <c r="I75" s="816"/>
      <c r="J75" s="816"/>
      <c r="K75" s="816"/>
      <c r="L75" s="816"/>
      <c r="M75" s="816"/>
      <c r="N75" s="816"/>
      <c r="O75" s="816"/>
      <c r="P75" s="816"/>
      <c r="Q75" s="816"/>
      <c r="R75" s="816"/>
      <c r="S75" s="816"/>
      <c r="T75" s="816"/>
      <c r="U75" s="816"/>
      <c r="V75" s="816"/>
      <c r="W75" s="816"/>
      <c r="X75" s="816"/>
    </row>
    <row r="76" spans="1:31" s="99" customFormat="1" x14ac:dyDescent="0.25">
      <c r="A76" s="784"/>
    </row>
    <row r="77" spans="1:31" s="99" customFormat="1" ht="33.950000000000003" customHeight="1" x14ac:dyDescent="0.25">
      <c r="A77" s="784"/>
      <c r="B77" s="219" t="s">
        <v>1975</v>
      </c>
      <c r="C77" s="219" t="s">
        <v>2166</v>
      </c>
      <c r="D77" s="219" t="s">
        <v>2587</v>
      </c>
      <c r="E77" s="219" t="s">
        <v>3110</v>
      </c>
      <c r="F77" s="219"/>
      <c r="G77" s="219" t="s">
        <v>1008</v>
      </c>
      <c r="H77" s="219" t="s">
        <v>3111</v>
      </c>
      <c r="I77" s="219" t="s">
        <v>3112</v>
      </c>
      <c r="J77" s="219" t="s">
        <v>3113</v>
      </c>
      <c r="K77" s="219" t="s">
        <v>3114</v>
      </c>
      <c r="M77" s="220" t="s">
        <v>3115</v>
      </c>
      <c r="N77" s="220" t="s">
        <v>3116</v>
      </c>
      <c r="O77" s="220" t="s">
        <v>3117</v>
      </c>
      <c r="P77" s="220" t="s">
        <v>3118</v>
      </c>
      <c r="R77" s="219" t="s">
        <v>3119</v>
      </c>
      <c r="S77" s="219" t="s">
        <v>2162</v>
      </c>
      <c r="T77" s="219"/>
      <c r="U77" s="219"/>
    </row>
    <row r="78" spans="1:31" s="99" customFormat="1" ht="50.1" customHeight="1" x14ac:dyDescent="0.25">
      <c r="A78" s="784"/>
      <c r="B78" s="179" t="s">
        <v>2970</v>
      </c>
      <c r="C78" s="180">
        <v>8</v>
      </c>
      <c r="D78" s="181" t="s">
        <v>2971</v>
      </c>
      <c r="E78" s="800" t="s">
        <v>3120</v>
      </c>
      <c r="F78" s="801"/>
      <c r="G78" s="182" t="s">
        <v>3116</v>
      </c>
      <c r="H78" s="183">
        <v>5</v>
      </c>
      <c r="I78" s="184">
        <v>3.8</v>
      </c>
      <c r="J78" s="184">
        <v>3.6</v>
      </c>
      <c r="K78" s="185">
        <v>0</v>
      </c>
      <c r="L78" s="158"/>
      <c r="M78" s="186" t="s">
        <v>3121</v>
      </c>
      <c r="N78" s="187">
        <v>1</v>
      </c>
      <c r="O78" s="187">
        <v>1</v>
      </c>
      <c r="P78" s="188">
        <v>2</v>
      </c>
      <c r="Q78" s="158"/>
      <c r="R78" s="189" t="s">
        <v>3122</v>
      </c>
      <c r="S78" s="802" t="s">
        <v>4423</v>
      </c>
      <c r="T78" s="802"/>
      <c r="U78" s="803"/>
    </row>
    <row r="80" spans="1:31" ht="21" customHeight="1" x14ac:dyDescent="0.25">
      <c r="A80" s="332"/>
      <c r="B80" s="332"/>
      <c r="C80" s="332"/>
      <c r="D80" s="332"/>
      <c r="E80" s="332"/>
      <c r="F80" s="332"/>
      <c r="G80" s="332"/>
      <c r="H80" s="332"/>
      <c r="I80" s="332"/>
      <c r="J80" s="332"/>
      <c r="K80" s="332"/>
      <c r="L80" s="332"/>
      <c r="M80" s="332"/>
      <c r="N80" s="332"/>
      <c r="O80" s="332"/>
      <c r="P80" s="332"/>
      <c r="Q80" s="332"/>
      <c r="R80" s="332"/>
      <c r="S80" s="332"/>
      <c r="T80" s="332"/>
      <c r="U80" s="332"/>
      <c r="V80" s="332"/>
      <c r="W80" s="332"/>
      <c r="X80" s="332"/>
      <c r="Y80" s="332"/>
      <c r="Z80" s="332"/>
      <c r="AA80" s="332"/>
      <c r="AB80" s="332"/>
      <c r="AC80" s="332"/>
      <c r="AD80" s="332"/>
      <c r="AE80" s="332"/>
    </row>
    <row r="82" spans="1:31" s="4" customFormat="1" ht="30" customHeight="1" x14ac:dyDescent="0.25">
      <c r="A82" s="783">
        <v>9</v>
      </c>
      <c r="B82" s="788" t="s">
        <v>1717</v>
      </c>
      <c r="C82" s="789"/>
      <c r="D82" s="789"/>
      <c r="E82" s="789"/>
      <c r="F82" s="789"/>
      <c r="G82" s="790"/>
      <c r="H82" s="276"/>
      <c r="I82" s="276"/>
      <c r="J82" s="276"/>
      <c r="K82" s="276"/>
    </row>
    <row r="83" spans="1:31" s="4" customFormat="1" ht="42" customHeight="1" x14ac:dyDescent="0.25">
      <c r="A83" s="783"/>
      <c r="B83" s="13" t="s">
        <v>1718</v>
      </c>
      <c r="H83" s="98" t="s">
        <v>2829</v>
      </c>
    </row>
    <row r="84" spans="1:31" s="4" customFormat="1" ht="38.1" customHeight="1" x14ac:dyDescent="0.25">
      <c r="A84" s="783"/>
      <c r="B84" s="278" t="s">
        <v>1719</v>
      </c>
      <c r="C84" s="278" t="s">
        <v>1720</v>
      </c>
      <c r="D84" s="278" t="s">
        <v>1721</v>
      </c>
      <c r="E84" s="278" t="s">
        <v>1722</v>
      </c>
      <c r="F84" s="278" t="s">
        <v>1723</v>
      </c>
      <c r="G84" s="278" t="s">
        <v>1724</v>
      </c>
      <c r="H84" s="278" t="s">
        <v>1725</v>
      </c>
      <c r="I84" s="278" t="s">
        <v>1726</v>
      </c>
      <c r="J84" s="278" t="s">
        <v>1727</v>
      </c>
      <c r="K84" s="278" t="s">
        <v>1439</v>
      </c>
    </row>
    <row r="85" spans="1:31" s="4" customFormat="1" ht="42" customHeight="1" x14ac:dyDescent="0.25">
      <c r="A85" s="783"/>
      <c r="B85" s="5" t="s">
        <v>241</v>
      </c>
      <c r="C85" s="5" t="s">
        <v>1728</v>
      </c>
      <c r="D85" s="5" t="s">
        <v>1729</v>
      </c>
      <c r="E85" s="5" t="s">
        <v>1730</v>
      </c>
      <c r="F85" s="5" t="s">
        <v>1731</v>
      </c>
      <c r="G85" s="5" t="s">
        <v>1732</v>
      </c>
      <c r="H85" s="5" t="s">
        <v>1733</v>
      </c>
      <c r="I85" s="5" t="s">
        <v>1734</v>
      </c>
      <c r="J85" s="5" t="s">
        <v>1735</v>
      </c>
      <c r="K85" s="5" t="s">
        <v>1471</v>
      </c>
    </row>
    <row r="87" spans="1:31" ht="21" customHeight="1" x14ac:dyDescent="0.25">
      <c r="A87" s="332"/>
      <c r="B87" s="332"/>
      <c r="C87" s="332"/>
      <c r="D87" s="332"/>
      <c r="E87" s="332"/>
      <c r="F87" s="332"/>
      <c r="G87" s="332"/>
      <c r="H87" s="332"/>
      <c r="I87" s="332"/>
      <c r="J87" s="332"/>
      <c r="K87" s="332"/>
      <c r="L87" s="332"/>
      <c r="M87" s="332"/>
      <c r="N87" s="332"/>
      <c r="O87" s="332"/>
      <c r="P87" s="332"/>
      <c r="Q87" s="332"/>
      <c r="R87" s="332"/>
      <c r="S87" s="332"/>
      <c r="T87" s="332"/>
      <c r="U87" s="332"/>
      <c r="V87" s="332"/>
      <c r="W87" s="332"/>
      <c r="X87" s="332"/>
      <c r="Y87" s="332"/>
      <c r="Z87" s="332"/>
      <c r="AA87" s="332"/>
      <c r="AB87" s="332"/>
      <c r="AC87" s="332"/>
      <c r="AD87" s="332"/>
      <c r="AE87" s="332"/>
    </row>
    <row r="89" spans="1:31" ht="48" customHeight="1" x14ac:dyDescent="0.25">
      <c r="A89" s="784">
        <v>10</v>
      </c>
      <c r="B89" s="1" t="s">
        <v>0</v>
      </c>
      <c r="C89" s="1" t="s">
        <v>1</v>
      </c>
      <c r="D89" s="1" t="s">
        <v>2</v>
      </c>
      <c r="E89" s="1" t="s">
        <v>3</v>
      </c>
      <c r="F89" s="275" t="s">
        <v>4</v>
      </c>
      <c r="G89" s="1" t="s">
        <v>5</v>
      </c>
      <c r="H89" s="1" t="s">
        <v>6</v>
      </c>
      <c r="I89" s="1" t="s">
        <v>7</v>
      </c>
      <c r="J89" s="1" t="s">
        <v>8</v>
      </c>
      <c r="K89" s="1" t="s">
        <v>9</v>
      </c>
      <c r="L89" s="1" t="s">
        <v>10</v>
      </c>
      <c r="M89" s="1" t="s">
        <v>11</v>
      </c>
      <c r="N89" s="1" t="s">
        <v>12</v>
      </c>
      <c r="O89" s="1" t="s">
        <v>13</v>
      </c>
      <c r="P89" s="1" t="s">
        <v>14</v>
      </c>
      <c r="Q89" s="1" t="s">
        <v>15</v>
      </c>
      <c r="R89" s="1" t="s">
        <v>16</v>
      </c>
      <c r="S89" s="1" t="s">
        <v>17</v>
      </c>
      <c r="T89" s="1" t="s">
        <v>18</v>
      </c>
      <c r="U89" s="1" t="s">
        <v>19</v>
      </c>
      <c r="V89" s="1" t="s">
        <v>20</v>
      </c>
      <c r="W89" s="1" t="s">
        <v>21</v>
      </c>
      <c r="X89" s="1" t="s">
        <v>22</v>
      </c>
      <c r="Y89" s="98" t="s">
        <v>2829</v>
      </c>
    </row>
    <row r="90" spans="1:31" ht="66" customHeight="1" x14ac:dyDescent="0.25">
      <c r="A90" s="784"/>
      <c r="B90" s="3" t="s">
        <v>23</v>
      </c>
      <c r="C90" s="2" t="s">
        <v>24</v>
      </c>
      <c r="D90" s="14" t="s">
        <v>25</v>
      </c>
      <c r="E90" s="14" t="s">
        <v>26</v>
      </c>
      <c r="F90" s="14" t="s">
        <v>27</v>
      </c>
      <c r="G90" s="2" t="s">
        <v>28</v>
      </c>
      <c r="H90" s="2" t="s">
        <v>29</v>
      </c>
      <c r="I90" s="2" t="s">
        <v>30</v>
      </c>
      <c r="J90" s="14" t="s">
        <v>31</v>
      </c>
      <c r="K90" s="14" t="s">
        <v>32</v>
      </c>
      <c r="L90" s="14" t="s">
        <v>33</v>
      </c>
      <c r="M90" s="14" t="s">
        <v>34</v>
      </c>
      <c r="N90" s="2" t="s">
        <v>35</v>
      </c>
      <c r="O90" s="2" t="s">
        <v>36</v>
      </c>
      <c r="P90" s="2" t="s">
        <v>37</v>
      </c>
      <c r="Q90" s="30" t="s">
        <v>38</v>
      </c>
      <c r="R90" s="2" t="s">
        <v>39</v>
      </c>
      <c r="S90" s="2" t="s">
        <v>40</v>
      </c>
      <c r="T90" s="2" t="s">
        <v>41</v>
      </c>
      <c r="U90" s="2" t="s">
        <v>42</v>
      </c>
      <c r="V90" s="2" t="s">
        <v>43</v>
      </c>
      <c r="W90" s="2" t="s">
        <v>44</v>
      </c>
      <c r="X90" s="2" t="s">
        <v>45</v>
      </c>
    </row>
    <row r="92" spans="1:31" ht="21" customHeight="1" x14ac:dyDescent="0.25">
      <c r="A92" s="332"/>
      <c r="B92" s="332"/>
      <c r="C92" s="332"/>
      <c r="D92" s="332"/>
      <c r="E92" s="332"/>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row>
    <row r="94" spans="1:31" s="4" customFormat="1" ht="30" customHeight="1" x14ac:dyDescent="0.25">
      <c r="A94" s="783">
        <v>11</v>
      </c>
      <c r="B94" s="796" t="s">
        <v>2062</v>
      </c>
      <c r="C94" s="797"/>
      <c r="D94" s="797"/>
      <c r="E94" s="797"/>
      <c r="F94" s="798"/>
    </row>
    <row r="95" spans="1:31" s="4" customFormat="1" ht="42" customHeight="1" x14ac:dyDescent="0.25">
      <c r="A95" s="783"/>
      <c r="B95" s="13" t="s">
        <v>2063</v>
      </c>
      <c r="E95" s="98" t="s">
        <v>2829</v>
      </c>
    </row>
    <row r="96" spans="1:31" s="4" customFormat="1" ht="38.1" customHeight="1" x14ac:dyDescent="0.25">
      <c r="A96" s="783"/>
      <c r="B96" s="277" t="s">
        <v>2064</v>
      </c>
      <c r="C96" s="277" t="s">
        <v>2065</v>
      </c>
      <c r="D96" s="277" t="s">
        <v>2066</v>
      </c>
      <c r="E96" s="277" t="s">
        <v>2067</v>
      </c>
      <c r="F96" s="277" t="s">
        <v>2068</v>
      </c>
    </row>
    <row r="97" spans="1:31" s="4" customFormat="1" ht="50.1" customHeight="1" x14ac:dyDescent="0.25">
      <c r="A97" s="783"/>
      <c r="B97" s="5" t="s">
        <v>2069</v>
      </c>
      <c r="C97" s="5" t="s">
        <v>2070</v>
      </c>
      <c r="D97" s="5" t="s">
        <v>2071</v>
      </c>
      <c r="E97" s="7" t="s">
        <v>2072</v>
      </c>
      <c r="F97" s="5" t="s">
        <v>2073</v>
      </c>
    </row>
    <row r="99" spans="1:31" ht="21" customHeight="1" x14ac:dyDescent="0.25">
      <c r="A99" s="332"/>
      <c r="B99" s="332"/>
      <c r="C99" s="332"/>
      <c r="D99" s="332"/>
      <c r="E99" s="332"/>
      <c r="F99" s="332"/>
      <c r="G99" s="332"/>
      <c r="H99" s="332"/>
      <c r="I99" s="332"/>
      <c r="J99" s="332"/>
      <c r="K99" s="332"/>
      <c r="L99" s="332"/>
      <c r="M99" s="332"/>
      <c r="N99" s="332"/>
      <c r="O99" s="332"/>
      <c r="P99" s="332"/>
      <c r="Q99" s="332"/>
      <c r="R99" s="332"/>
      <c r="S99" s="332"/>
      <c r="T99" s="332"/>
      <c r="U99" s="332"/>
      <c r="V99" s="332"/>
      <c r="W99" s="332"/>
      <c r="X99" s="332"/>
      <c r="Y99" s="332"/>
      <c r="Z99" s="332"/>
      <c r="AA99" s="332"/>
      <c r="AB99" s="332"/>
      <c r="AC99" s="332"/>
      <c r="AD99" s="332"/>
      <c r="AE99" s="332"/>
    </row>
    <row r="101" spans="1:31" s="15" customFormat="1" ht="32.1" customHeight="1" x14ac:dyDescent="0.25">
      <c r="A101" s="784">
        <v>12</v>
      </c>
      <c r="B101" s="222" t="s">
        <v>2112</v>
      </c>
      <c r="C101" s="222"/>
      <c r="D101" s="222"/>
      <c r="E101" s="222"/>
      <c r="F101" s="222"/>
      <c r="G101" s="222"/>
      <c r="H101" s="222"/>
      <c r="I101" s="222"/>
      <c r="J101" s="222"/>
      <c r="K101" s="222"/>
      <c r="L101" s="222"/>
    </row>
    <row r="102" spans="1:31" s="15" customFormat="1" ht="57.95" customHeight="1" x14ac:dyDescent="0.25">
      <c r="A102" s="784"/>
      <c r="B102" s="223" t="s">
        <v>2113</v>
      </c>
      <c r="C102" s="791" t="s">
        <v>2114</v>
      </c>
      <c r="D102" s="791"/>
      <c r="E102" s="791"/>
      <c r="F102" s="791"/>
      <c r="G102" s="791"/>
      <c r="H102" s="791"/>
      <c r="I102" s="791"/>
      <c r="J102" s="791"/>
      <c r="K102" s="791"/>
      <c r="L102" s="791"/>
    </row>
    <row r="103" spans="1:31" s="15" customFormat="1" ht="57.95" customHeight="1" x14ac:dyDescent="0.25">
      <c r="A103" s="784"/>
      <c r="B103" s="224" t="s">
        <v>2115</v>
      </c>
      <c r="C103" s="792" t="s">
        <v>2116</v>
      </c>
      <c r="D103" s="792"/>
      <c r="E103" s="792"/>
      <c r="F103" s="792"/>
      <c r="G103" s="792"/>
      <c r="H103" s="792"/>
      <c r="I103" s="792"/>
      <c r="J103" s="792"/>
      <c r="K103" s="792"/>
      <c r="L103" s="792"/>
    </row>
    <row r="104" spans="1:31" s="15" customFormat="1" ht="18.75" customHeight="1" x14ac:dyDescent="0.25">
      <c r="A104" s="784"/>
      <c r="B104" s="98" t="s">
        <v>2829</v>
      </c>
      <c r="C104" s="16"/>
      <c r="D104" s="16"/>
      <c r="E104" s="16"/>
      <c r="F104" s="16"/>
      <c r="G104" s="21"/>
      <c r="H104" s="21"/>
      <c r="I104" s="21"/>
      <c r="J104" s="21"/>
      <c r="K104" s="21"/>
      <c r="L104" s="21"/>
    </row>
    <row r="105" spans="1:31" s="15" customFormat="1" ht="38.1" customHeight="1" x14ac:dyDescent="0.25">
      <c r="A105" s="784"/>
      <c r="B105" s="225" t="s">
        <v>2117</v>
      </c>
      <c r="C105" s="225" t="s">
        <v>2118</v>
      </c>
      <c r="D105" s="225" t="s">
        <v>2119</v>
      </c>
      <c r="E105" s="225" t="s">
        <v>2120</v>
      </c>
      <c r="F105" s="225" t="s">
        <v>2121</v>
      </c>
      <c r="G105" s="21"/>
      <c r="H105" s="21"/>
      <c r="I105" s="21"/>
      <c r="J105" s="21"/>
      <c r="K105" s="21"/>
      <c r="L105" s="21"/>
    </row>
    <row r="106" spans="1:31" s="15" customFormat="1" ht="57.95" customHeight="1" x14ac:dyDescent="0.25">
      <c r="A106" s="784"/>
      <c r="B106" s="226" t="s">
        <v>3506</v>
      </c>
      <c r="C106" s="22" t="s">
        <v>2122</v>
      </c>
      <c r="D106" s="22" t="s">
        <v>2123</v>
      </c>
      <c r="E106" s="22" t="s">
        <v>2124</v>
      </c>
      <c r="F106" s="22" t="s">
        <v>2125</v>
      </c>
      <c r="G106" s="21"/>
      <c r="H106" s="21"/>
      <c r="I106" s="21"/>
      <c r="J106" s="21"/>
      <c r="K106" s="21"/>
      <c r="L106" s="21"/>
    </row>
    <row r="107" spans="1:31" ht="21" customHeight="1" x14ac:dyDescent="0.25">
      <c r="A107" s="332"/>
      <c r="B107" s="332"/>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row>
    <row r="109" spans="1:31" s="15" customFormat="1" ht="32.1" customHeight="1" x14ac:dyDescent="0.25">
      <c r="A109" s="784">
        <v>13</v>
      </c>
      <c r="B109" s="799" t="s">
        <v>2160</v>
      </c>
      <c r="C109" s="799"/>
      <c r="D109" s="799"/>
      <c r="E109" s="799"/>
      <c r="F109" s="799"/>
      <c r="G109" s="799"/>
      <c r="H109" s="799"/>
      <c r="I109" s="21"/>
      <c r="J109" s="21"/>
      <c r="K109" s="21"/>
      <c r="L109" s="21"/>
      <c r="M109" s="21"/>
    </row>
    <row r="110" spans="1:31" s="15" customFormat="1" ht="45" customHeight="1" x14ac:dyDescent="0.25">
      <c r="A110" s="784"/>
      <c r="B110" s="229" t="s">
        <v>3522</v>
      </c>
      <c r="C110" s="20" t="s">
        <v>3504</v>
      </c>
      <c r="D110" s="23"/>
      <c r="E110" s="23"/>
      <c r="F110" s="23"/>
      <c r="G110" s="23"/>
      <c r="H110" s="21"/>
      <c r="I110" s="21"/>
      <c r="J110" s="21"/>
      <c r="K110" s="21"/>
      <c r="L110" s="21"/>
      <c r="M110" s="21"/>
    </row>
    <row r="111" spans="1:31" s="15" customFormat="1" ht="45" customHeight="1" x14ac:dyDescent="0.25">
      <c r="A111" s="784"/>
      <c r="B111" s="229" t="s">
        <v>3521</v>
      </c>
      <c r="C111" s="23" t="s">
        <v>2161</v>
      </c>
      <c r="D111" s="23"/>
      <c r="E111" s="23"/>
      <c r="F111" s="23"/>
      <c r="G111" s="23"/>
      <c r="H111" s="21"/>
      <c r="I111" s="21"/>
      <c r="J111" s="21"/>
      <c r="K111" s="21"/>
      <c r="L111" s="21"/>
      <c r="M111" s="21"/>
    </row>
    <row r="112" spans="1:31" s="15" customFormat="1" ht="45" customHeight="1" x14ac:dyDescent="0.25">
      <c r="A112" s="784"/>
      <c r="B112" s="230" t="s">
        <v>2164</v>
      </c>
      <c r="C112" s="230" t="s">
        <v>1719</v>
      </c>
      <c r="D112" s="230" t="s">
        <v>2165</v>
      </c>
      <c r="E112" s="230" t="s">
        <v>2166</v>
      </c>
      <c r="F112" s="230" t="s">
        <v>2167</v>
      </c>
      <c r="G112" s="230" t="s">
        <v>2168</v>
      </c>
      <c r="H112" s="21"/>
      <c r="I112" s="21"/>
      <c r="J112" s="21"/>
      <c r="K112" s="21"/>
      <c r="L112" s="21"/>
      <c r="M112" s="21"/>
    </row>
    <row r="113" spans="1:31" s="15" customFormat="1" ht="45" customHeight="1" x14ac:dyDescent="0.25">
      <c r="A113" s="784"/>
      <c r="B113" s="17" t="s">
        <v>1442</v>
      </c>
      <c r="C113" s="17" t="s">
        <v>2169</v>
      </c>
      <c r="D113" s="18" t="s">
        <v>2170</v>
      </c>
      <c r="E113" s="230" t="s">
        <v>2465</v>
      </c>
      <c r="F113" s="18" t="s">
        <v>2171</v>
      </c>
      <c r="G113" s="18" t="s">
        <v>2172</v>
      </c>
      <c r="H113" s="21"/>
      <c r="I113" s="21"/>
      <c r="J113" s="21"/>
      <c r="K113" s="21"/>
      <c r="L113" s="21"/>
      <c r="M113" s="21"/>
    </row>
    <row r="114" spans="1:31" s="15" customFormat="1" ht="45" customHeight="1" x14ac:dyDescent="0.25">
      <c r="B114" s="17" t="s">
        <v>1453</v>
      </c>
      <c r="C114" s="17" t="s">
        <v>2169</v>
      </c>
      <c r="D114" s="18" t="s">
        <v>2173</v>
      </c>
      <c r="E114" s="230" t="s">
        <v>2466</v>
      </c>
      <c r="F114" s="18" t="s">
        <v>2174</v>
      </c>
      <c r="G114" s="18" t="s">
        <v>2175</v>
      </c>
      <c r="H114" s="21"/>
      <c r="I114" s="21"/>
      <c r="J114" s="21"/>
      <c r="K114" s="21"/>
      <c r="L114" s="21"/>
      <c r="M114" s="21"/>
    </row>
    <row r="116" spans="1:31" ht="21" customHeight="1" x14ac:dyDescent="0.25">
      <c r="A116" s="332"/>
      <c r="B116" s="332"/>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2"/>
    </row>
    <row r="118" spans="1:31" s="4" customFormat="1" ht="30" customHeight="1" x14ac:dyDescent="0.25">
      <c r="A118" s="784">
        <v>14</v>
      </c>
      <c r="B118" s="793" t="s">
        <v>3553</v>
      </c>
      <c r="C118" s="794"/>
      <c r="D118" s="794"/>
      <c r="E118" s="794"/>
      <c r="F118" s="794"/>
      <c r="G118" s="794"/>
      <c r="H118" s="794"/>
      <c r="I118" s="794"/>
      <c r="J118" s="794"/>
      <c r="K118" s="794"/>
      <c r="L118" s="795"/>
    </row>
    <row r="119" spans="1:31" s="4" customFormat="1" ht="42" customHeight="1" x14ac:dyDescent="0.25">
      <c r="A119" s="784"/>
      <c r="B119" s="47" t="s">
        <v>2460</v>
      </c>
    </row>
    <row r="120" spans="1:31" s="4" customFormat="1" ht="21.75" customHeight="1" x14ac:dyDescent="0.25">
      <c r="A120" s="784"/>
      <c r="B120" s="237" t="s">
        <v>3536</v>
      </c>
      <c r="C120" s="238">
        <v>1</v>
      </c>
    </row>
    <row r="121" spans="1:31" s="4" customFormat="1" ht="21.75" customHeight="1" x14ac:dyDescent="0.25">
      <c r="A121" s="784"/>
      <c r="B121" s="237" t="s">
        <v>3537</v>
      </c>
      <c r="C121" s="239" t="s">
        <v>4424</v>
      </c>
    </row>
    <row r="122" spans="1:31" s="4" customFormat="1" ht="54.95" customHeight="1" x14ac:dyDescent="0.25">
      <c r="A122" s="784"/>
      <c r="B122" s="237" t="s">
        <v>3538</v>
      </c>
      <c r="C122" s="9" t="s">
        <v>4425</v>
      </c>
      <c r="D122" s="10"/>
      <c r="E122" s="10"/>
      <c r="F122" s="10"/>
      <c r="G122" s="10"/>
      <c r="H122" s="10"/>
      <c r="I122" s="10"/>
      <c r="J122" s="10"/>
      <c r="K122" s="10"/>
    </row>
    <row r="123" spans="1:31" s="4" customFormat="1" ht="15.75" x14ac:dyDescent="0.25">
      <c r="A123" s="784"/>
      <c r="B123" s="98" t="s">
        <v>2829</v>
      </c>
    </row>
    <row r="124" spans="1:31" s="4" customFormat="1" ht="15.75" x14ac:dyDescent="0.25">
      <c r="A124" s="784"/>
      <c r="B124" s="241" t="s">
        <v>1979</v>
      </c>
      <c r="C124" s="241" t="s">
        <v>1980</v>
      </c>
      <c r="D124" s="241" t="s">
        <v>1981</v>
      </c>
      <c r="E124" s="241" t="s">
        <v>1982</v>
      </c>
      <c r="F124" s="241" t="s">
        <v>1983</v>
      </c>
      <c r="G124" s="241" t="s">
        <v>1984</v>
      </c>
      <c r="H124" s="241" t="s">
        <v>1985</v>
      </c>
      <c r="I124" s="241" t="s">
        <v>1986</v>
      </c>
      <c r="J124" s="241" t="s">
        <v>1987</v>
      </c>
      <c r="K124" s="241" t="s">
        <v>1988</v>
      </c>
      <c r="L124" s="241" t="s">
        <v>1989</v>
      </c>
    </row>
    <row r="125" spans="1:31" s="4" customFormat="1" ht="45" customHeight="1" x14ac:dyDescent="0.25">
      <c r="A125" s="784"/>
      <c r="B125" s="8" t="s">
        <v>1442</v>
      </c>
      <c r="C125" s="8" t="s">
        <v>1442</v>
      </c>
      <c r="D125" s="8" t="s">
        <v>1990</v>
      </c>
      <c r="E125" s="8" t="s">
        <v>1991</v>
      </c>
      <c r="F125" s="8" t="s">
        <v>1992</v>
      </c>
      <c r="G125" s="8" t="s">
        <v>1993</v>
      </c>
      <c r="H125" s="8" t="s">
        <v>1994</v>
      </c>
      <c r="I125" s="8" t="s">
        <v>1995</v>
      </c>
      <c r="J125" s="8"/>
      <c r="K125" s="240" t="s">
        <v>2465</v>
      </c>
      <c r="L125" s="5" t="s">
        <v>1996</v>
      </c>
    </row>
    <row r="127" spans="1:31" ht="21" customHeight="1" x14ac:dyDescent="0.25">
      <c r="A127" s="332"/>
      <c r="B127" s="332"/>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row>
    <row r="129" spans="1:31" s="29" customFormat="1" ht="30" customHeight="1" x14ac:dyDescent="0.25">
      <c r="A129" s="783">
        <v>15</v>
      </c>
      <c r="B129" s="785" t="s">
        <v>1427</v>
      </c>
      <c r="C129" s="786"/>
      <c r="D129" s="786"/>
      <c r="E129" s="786"/>
      <c r="F129" s="786"/>
      <c r="G129" s="787"/>
      <c r="H129" s="279"/>
      <c r="I129" s="279"/>
      <c r="J129" s="279"/>
      <c r="K129" s="279"/>
      <c r="L129" s="279"/>
      <c r="M129" s="279"/>
    </row>
    <row r="130" spans="1:31" s="29" customFormat="1" ht="42" customHeight="1" x14ac:dyDescent="0.25">
      <c r="A130" s="783"/>
      <c r="B130" s="31" t="s">
        <v>1428</v>
      </c>
      <c r="F130" s="98" t="s">
        <v>2829</v>
      </c>
    </row>
    <row r="131" spans="1:31" s="29" customFormat="1" ht="38.1" customHeight="1" x14ac:dyDescent="0.25">
      <c r="A131" s="783"/>
      <c r="B131" s="280" t="s">
        <v>1429</v>
      </c>
      <c r="C131" s="280" t="s">
        <v>1430</v>
      </c>
      <c r="D131" s="280" t="s">
        <v>1431</v>
      </c>
      <c r="E131" s="280" t="s">
        <v>1432</v>
      </c>
      <c r="F131" s="280" t="s">
        <v>1433</v>
      </c>
      <c r="G131" s="280" t="s">
        <v>1434</v>
      </c>
      <c r="H131" s="280" t="s">
        <v>1435</v>
      </c>
      <c r="I131" s="280" t="s">
        <v>1436</v>
      </c>
      <c r="J131" s="280" t="s">
        <v>1437</v>
      </c>
      <c r="K131" s="280" t="s">
        <v>1438</v>
      </c>
      <c r="L131" s="280" t="s">
        <v>17</v>
      </c>
      <c r="M131" s="280" t="s">
        <v>1439</v>
      </c>
    </row>
    <row r="132" spans="1:31" s="29" customFormat="1" ht="50.1" customHeight="1" x14ac:dyDescent="0.25">
      <c r="A132" s="783"/>
      <c r="B132" s="32" t="s">
        <v>1440</v>
      </c>
      <c r="C132" s="32" t="s">
        <v>1441</v>
      </c>
      <c r="D132" s="32" t="s">
        <v>1442</v>
      </c>
      <c r="E132" s="32" t="s">
        <v>1443</v>
      </c>
      <c r="F132" s="33" t="s">
        <v>1444</v>
      </c>
      <c r="G132" s="32" t="s">
        <v>1445</v>
      </c>
      <c r="H132" s="32" t="s">
        <v>1446</v>
      </c>
      <c r="I132" s="32" t="s">
        <v>1447</v>
      </c>
      <c r="J132" s="32" t="s">
        <v>1448</v>
      </c>
      <c r="K132" s="32" t="s">
        <v>1449</v>
      </c>
      <c r="L132" s="32" t="s">
        <v>1450</v>
      </c>
      <c r="M132" s="32" t="s">
        <v>1451</v>
      </c>
    </row>
    <row r="134" spans="1:31" ht="21" customHeight="1" x14ac:dyDescent="0.25">
      <c r="A134" s="332"/>
      <c r="B134" s="332"/>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row>
    <row r="136" spans="1:31" ht="15.75" x14ac:dyDescent="0.25">
      <c r="B136" s="763" t="s">
        <v>4696</v>
      </c>
    </row>
    <row r="137" spans="1:31" ht="15.75" x14ac:dyDescent="0.25">
      <c r="B137" s="764" t="s">
        <v>4697</v>
      </c>
    </row>
    <row r="138" spans="1:31" ht="15.75" x14ac:dyDescent="0.25">
      <c r="B138" s="764" t="s">
        <v>4698</v>
      </c>
    </row>
    <row r="139" spans="1:31" ht="15.75" x14ac:dyDescent="0.25">
      <c r="B139" s="765" t="s">
        <v>4699</v>
      </c>
    </row>
    <row r="140" spans="1:31" ht="15.75" x14ac:dyDescent="0.25">
      <c r="B140" s="766" t="s">
        <v>4700</v>
      </c>
    </row>
    <row r="639" spans="4:21" ht="19.5" customHeight="1" x14ac:dyDescent="0.25"/>
    <row r="640" spans="4:21" ht="18.75" x14ac:dyDescent="0.25">
      <c r="D640" s="48" t="s">
        <v>2461</v>
      </c>
      <c r="E640" s="48"/>
      <c r="F640" s="48"/>
      <c r="G640" s="48"/>
      <c r="H640" s="48"/>
      <c r="I640" s="48"/>
      <c r="J640" s="48"/>
      <c r="K640" s="48"/>
      <c r="L640" s="48"/>
      <c r="M640" s="48"/>
      <c r="N640" s="48"/>
      <c r="O640" s="48"/>
      <c r="P640" s="48"/>
      <c r="Q640" s="48"/>
      <c r="R640" s="48"/>
      <c r="S640" s="48"/>
      <c r="T640" s="48"/>
      <c r="U640" s="48"/>
    </row>
    <row r="641" spans="4:21" ht="18.75" x14ac:dyDescent="0.25">
      <c r="D641" s="49" t="s">
        <v>2462</v>
      </c>
      <c r="E641" s="49"/>
      <c r="F641" s="49"/>
      <c r="G641" s="49"/>
      <c r="H641" s="49"/>
      <c r="I641" s="49"/>
      <c r="J641" s="49"/>
      <c r="K641" s="49"/>
      <c r="L641" s="49"/>
      <c r="M641" s="49"/>
      <c r="N641" s="49"/>
      <c r="O641" s="49"/>
      <c r="P641" s="49"/>
      <c r="Q641" s="49"/>
      <c r="R641" s="49"/>
      <c r="S641" s="49"/>
      <c r="T641" s="49"/>
      <c r="U641" s="49"/>
    </row>
    <row r="642" spans="4:21" ht="18.75" x14ac:dyDescent="0.25">
      <c r="D642" s="50" t="s">
        <v>2463</v>
      </c>
      <c r="E642" s="50"/>
      <c r="F642" s="50"/>
      <c r="G642" s="50"/>
      <c r="H642" s="50"/>
      <c r="I642" s="50"/>
      <c r="J642" s="50"/>
      <c r="K642" s="50"/>
      <c r="L642" s="50"/>
      <c r="M642" s="50"/>
      <c r="N642" s="50"/>
      <c r="O642" s="50"/>
      <c r="P642" s="50"/>
      <c r="Q642" s="50"/>
      <c r="R642" s="50"/>
      <c r="S642" s="50"/>
      <c r="T642" s="50"/>
      <c r="U642" s="50"/>
    </row>
    <row r="643" spans="4:21" ht="18.75" x14ac:dyDescent="0.25">
      <c r="D643" s="50" t="s">
        <v>2464</v>
      </c>
      <c r="E643" s="50"/>
      <c r="F643" s="50"/>
      <c r="G643" s="50"/>
      <c r="H643" s="50"/>
      <c r="I643" s="50"/>
      <c r="J643" s="50"/>
      <c r="K643" s="50"/>
      <c r="L643" s="50"/>
      <c r="M643" s="50"/>
      <c r="N643" s="50"/>
      <c r="O643" s="50"/>
      <c r="P643" s="50"/>
      <c r="Q643" s="50"/>
      <c r="R643" s="50"/>
      <c r="S643" s="50"/>
      <c r="T643" s="50"/>
      <c r="U643" s="50"/>
    </row>
  </sheetData>
  <mergeCells count="45">
    <mergeCell ref="D22:F22"/>
    <mergeCell ref="C13:I13"/>
    <mergeCell ref="J13:P13"/>
    <mergeCell ref="D14:I14"/>
    <mergeCell ref="C23:F23"/>
    <mergeCell ref="G23:V23"/>
    <mergeCell ref="C27:F27"/>
    <mergeCell ref="C28:F28"/>
    <mergeCell ref="B36:D36"/>
    <mergeCell ref="B44:G44"/>
    <mergeCell ref="B45:G45"/>
    <mergeCell ref="C46:D46"/>
    <mergeCell ref="C47:D47"/>
    <mergeCell ref="C48:D48"/>
    <mergeCell ref="B74:X74"/>
    <mergeCell ref="B75:X75"/>
    <mergeCell ref="E78:F78"/>
    <mergeCell ref="S78:U78"/>
    <mergeCell ref="B55:F55"/>
    <mergeCell ref="B64:G64"/>
    <mergeCell ref="B65:G65"/>
    <mergeCell ref="B67:G67"/>
    <mergeCell ref="B73:K73"/>
    <mergeCell ref="B129:G129"/>
    <mergeCell ref="B82:G82"/>
    <mergeCell ref="C102:L102"/>
    <mergeCell ref="C103:L103"/>
    <mergeCell ref="B118:L118"/>
    <mergeCell ref="B94:F94"/>
    <mergeCell ref="B109:H109"/>
    <mergeCell ref="A12:A16"/>
    <mergeCell ref="A20:A23"/>
    <mergeCell ref="A27:A32"/>
    <mergeCell ref="A36:A40"/>
    <mergeCell ref="A44:A51"/>
    <mergeCell ref="A55:A60"/>
    <mergeCell ref="A64:A69"/>
    <mergeCell ref="A73:A78"/>
    <mergeCell ref="A82:A85"/>
    <mergeCell ref="A89:A90"/>
    <mergeCell ref="A94:A97"/>
    <mergeCell ref="A101:A106"/>
    <mergeCell ref="A109:A113"/>
    <mergeCell ref="A118:A125"/>
    <mergeCell ref="A129:A132"/>
  </mergeCells>
  <phoneticPr fontId="41" type="noConversion"/>
  <conditionalFormatting sqref="AA40">
    <cfRule type="containsText" dxfId="26" priority="1" operator="containsText" text="Alerte"/>
  </conditionalFormatting>
  <conditionalFormatting sqref="AC40">
    <cfRule type="containsText" dxfId="25" priority="2" operator="containsText" text="Alerte"/>
  </conditionalFormatting>
  <conditionalFormatting sqref="AE40">
    <cfRule type="containsText" dxfId="24" priority="3" operator="containsText" text="ne pas généraliser"/>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D6AE3-DBE6-49C5-9036-7814C2BFAADF}">
  <sheetPr codeName="Feuil14"/>
  <dimension ref="A1:G32"/>
  <sheetViews>
    <sheetView showGridLines="0" workbookViewId="0">
      <selection activeCell="A6" sqref="A6"/>
    </sheetView>
  </sheetViews>
  <sheetFormatPr baseColWidth="10" defaultRowHeight="15" x14ac:dyDescent="0.25"/>
  <cols>
    <col min="1" max="1" width="21" style="99" customWidth="1"/>
    <col min="2" max="2" width="58" style="99" customWidth="1"/>
    <col min="3" max="3" width="26.85546875" style="99" customWidth="1"/>
    <col min="4" max="4" width="22" style="99" customWidth="1"/>
    <col min="5" max="5" width="44" style="99" customWidth="1"/>
    <col min="6" max="6" width="22" style="99" customWidth="1"/>
    <col min="7" max="16384" width="11.42578125" style="99"/>
  </cols>
  <sheetData>
    <row r="1" spans="1:7" ht="30" customHeight="1" x14ac:dyDescent="0.25">
      <c r="A1" s="822" t="s">
        <v>2830</v>
      </c>
      <c r="B1" s="823"/>
      <c r="C1" s="823"/>
      <c r="D1" s="823"/>
      <c r="E1" s="823"/>
      <c r="F1" s="824"/>
    </row>
    <row r="2" spans="1:7" ht="30" customHeight="1" x14ac:dyDescent="0.25">
      <c r="A2" s="825" t="s">
        <v>2960</v>
      </c>
      <c r="B2" s="825"/>
      <c r="C2" s="825"/>
      <c r="D2" s="825"/>
      <c r="E2" s="825"/>
      <c r="F2" s="825"/>
      <c r="G2" s="768" t="s">
        <v>4701</v>
      </c>
    </row>
    <row r="3" spans="1:7" ht="35.1" customHeight="1" x14ac:dyDescent="0.25">
      <c r="A3" s="127" t="s">
        <v>2959</v>
      </c>
      <c r="B3" s="809" t="s">
        <v>2958</v>
      </c>
      <c r="C3" s="810"/>
      <c r="D3" s="126" t="s">
        <v>2957</v>
      </c>
      <c r="E3" s="125" t="s">
        <v>2956</v>
      </c>
      <c r="F3" s="124"/>
    </row>
    <row r="4" spans="1:7" ht="35.1" customHeight="1" x14ac:dyDescent="0.25">
      <c r="A4" s="123" t="s">
        <v>2955</v>
      </c>
      <c r="B4" s="811" t="s">
        <v>2954</v>
      </c>
      <c r="C4" s="812"/>
      <c r="D4" s="122" t="s">
        <v>2831</v>
      </c>
      <c r="E4" s="121" t="s">
        <v>2953</v>
      </c>
      <c r="F4" s="120"/>
    </row>
    <row r="5" spans="1:7" ht="35.1" customHeight="1" x14ac:dyDescent="0.25">
      <c r="A5" s="119" t="s">
        <v>2952</v>
      </c>
      <c r="B5" s="813" t="s">
        <v>2951</v>
      </c>
      <c r="C5" s="814"/>
      <c r="D5" s="118" t="s">
        <v>2950</v>
      </c>
      <c r="E5" s="117" t="s">
        <v>2949</v>
      </c>
      <c r="F5" s="116"/>
    </row>
    <row r="6" spans="1:7" ht="15.75" x14ac:dyDescent="0.25">
      <c r="A6" s="98" t="s">
        <v>5193</v>
      </c>
      <c r="B6" s="115"/>
      <c r="C6" s="115"/>
      <c r="D6" s="115"/>
      <c r="E6" s="115"/>
      <c r="F6" s="115"/>
    </row>
    <row r="7" spans="1:7" ht="32.1" customHeight="1" x14ac:dyDescent="0.25">
      <c r="A7" s="114" t="s">
        <v>2832</v>
      </c>
      <c r="B7" s="248" t="s">
        <v>2948</v>
      </c>
      <c r="C7" s="113" t="s">
        <v>2833</v>
      </c>
      <c r="D7" s="113" t="s">
        <v>2834</v>
      </c>
      <c r="E7" s="113" t="s">
        <v>2835</v>
      </c>
      <c r="F7" s="112" t="s">
        <v>2836</v>
      </c>
    </row>
    <row r="8" spans="1:7" ht="38.1" customHeight="1" x14ac:dyDescent="0.25">
      <c r="A8" s="107">
        <v>1</v>
      </c>
      <c r="B8" s="111" t="s">
        <v>2947</v>
      </c>
      <c r="C8" s="110" t="s">
        <v>2837</v>
      </c>
      <c r="D8" s="109"/>
      <c r="E8" s="108" t="s">
        <v>2946</v>
      </c>
      <c r="F8" s="108" t="s">
        <v>2838</v>
      </c>
    </row>
    <row r="9" spans="1:7" ht="38.1" customHeight="1" x14ac:dyDescent="0.25">
      <c r="A9" s="107">
        <v>2</v>
      </c>
      <c r="B9" s="111" t="s">
        <v>2945</v>
      </c>
      <c r="C9" s="110" t="s">
        <v>2839</v>
      </c>
      <c r="D9" s="109"/>
      <c r="E9" s="108" t="s">
        <v>2944</v>
      </c>
      <c r="F9" s="108" t="s">
        <v>2840</v>
      </c>
    </row>
    <row r="10" spans="1:7" ht="38.1" customHeight="1" x14ac:dyDescent="0.25">
      <c r="A10" s="107">
        <v>3</v>
      </c>
      <c r="B10" s="111" t="s">
        <v>2943</v>
      </c>
      <c r="C10" s="110" t="s">
        <v>2839</v>
      </c>
      <c r="D10" s="109"/>
      <c r="E10" s="108" t="s">
        <v>2942</v>
      </c>
      <c r="F10" s="108" t="s">
        <v>979</v>
      </c>
    </row>
    <row r="11" spans="1:7" ht="38.1" customHeight="1" x14ac:dyDescent="0.25">
      <c r="A11" s="107">
        <v>4</v>
      </c>
      <c r="B11" s="111" t="s">
        <v>2841</v>
      </c>
      <c r="C11" s="110" t="s">
        <v>2839</v>
      </c>
      <c r="D11" s="109"/>
      <c r="E11" s="108" t="s">
        <v>2941</v>
      </c>
      <c r="F11" s="108" t="s">
        <v>2842</v>
      </c>
    </row>
    <row r="12" spans="1:7" ht="38.1" customHeight="1" x14ac:dyDescent="0.25">
      <c r="A12" s="107">
        <v>5</v>
      </c>
      <c r="B12" s="111" t="s">
        <v>2940</v>
      </c>
      <c r="C12" s="110" t="s">
        <v>2839</v>
      </c>
      <c r="D12" s="109"/>
      <c r="E12" s="108" t="s">
        <v>2843</v>
      </c>
      <c r="F12" s="108" t="s">
        <v>2844</v>
      </c>
    </row>
    <row r="13" spans="1:7" ht="38.1" customHeight="1" x14ac:dyDescent="0.25">
      <c r="A13" s="107">
        <v>6</v>
      </c>
      <c r="B13" s="111" t="s">
        <v>2939</v>
      </c>
      <c r="C13" s="110" t="s">
        <v>2837</v>
      </c>
      <c r="D13" s="109"/>
      <c r="E13" s="108" t="s">
        <v>2938</v>
      </c>
      <c r="F13" s="108" t="s">
        <v>2845</v>
      </c>
    </row>
    <row r="14" spans="1:7" ht="38.1" customHeight="1" x14ac:dyDescent="0.25">
      <c r="A14" s="107">
        <v>7</v>
      </c>
      <c r="B14" s="111" t="s">
        <v>2937</v>
      </c>
      <c r="C14" s="110" t="s">
        <v>2846</v>
      </c>
      <c r="D14" s="109"/>
      <c r="E14" s="108" t="s">
        <v>2936</v>
      </c>
      <c r="F14" s="108" t="s">
        <v>2935</v>
      </c>
    </row>
    <row r="15" spans="1:7" ht="38.1" customHeight="1" x14ac:dyDescent="0.25">
      <c r="A15" s="107">
        <v>8</v>
      </c>
      <c r="B15" s="111" t="s">
        <v>2848</v>
      </c>
      <c r="C15" s="110" t="s">
        <v>2849</v>
      </c>
      <c r="D15" s="109"/>
      <c r="E15" s="108" t="s">
        <v>2934</v>
      </c>
      <c r="F15" s="108" t="s">
        <v>2850</v>
      </c>
    </row>
    <row r="16" spans="1:7" ht="38.1" customHeight="1" x14ac:dyDescent="0.25">
      <c r="A16" s="107">
        <v>9</v>
      </c>
      <c r="B16" s="111" t="s">
        <v>2851</v>
      </c>
      <c r="C16" s="110" t="s">
        <v>2839</v>
      </c>
      <c r="D16" s="109"/>
      <c r="E16" s="108" t="s">
        <v>2852</v>
      </c>
      <c r="F16" s="108" t="s">
        <v>1566</v>
      </c>
    </row>
    <row r="17" spans="1:6" ht="38.1" customHeight="1" x14ac:dyDescent="0.25">
      <c r="A17" s="107">
        <v>10</v>
      </c>
      <c r="B17" s="111" t="s">
        <v>2853</v>
      </c>
      <c r="C17" s="110" t="s">
        <v>2839</v>
      </c>
      <c r="D17" s="109"/>
      <c r="E17" s="108" t="s">
        <v>2854</v>
      </c>
      <c r="F17" s="108" t="s">
        <v>2855</v>
      </c>
    </row>
    <row r="18" spans="1:6" ht="38.1" customHeight="1" x14ac:dyDescent="0.25">
      <c r="A18" s="107">
        <v>11</v>
      </c>
      <c r="B18" s="111" t="s">
        <v>2933</v>
      </c>
      <c r="C18" s="110" t="s">
        <v>2837</v>
      </c>
      <c r="D18" s="109"/>
      <c r="E18" s="108" t="s">
        <v>2932</v>
      </c>
      <c r="F18" s="108" t="s">
        <v>1534</v>
      </c>
    </row>
    <row r="19" spans="1:6" ht="38.1" customHeight="1" x14ac:dyDescent="0.25">
      <c r="A19" s="107">
        <v>12</v>
      </c>
      <c r="B19" s="111" t="s">
        <v>2856</v>
      </c>
      <c r="C19" s="110" t="s">
        <v>2931</v>
      </c>
      <c r="D19" s="109"/>
      <c r="E19" s="108" t="s">
        <v>2930</v>
      </c>
      <c r="F19" s="108" t="s">
        <v>2857</v>
      </c>
    </row>
    <row r="20" spans="1:6" ht="38.1" customHeight="1" x14ac:dyDescent="0.25">
      <c r="A20" s="107">
        <v>13</v>
      </c>
      <c r="B20" s="111" t="s">
        <v>2929</v>
      </c>
      <c r="C20" s="110" t="s">
        <v>2858</v>
      </c>
      <c r="D20" s="109"/>
      <c r="E20" s="108" t="s">
        <v>2928</v>
      </c>
      <c r="F20" s="108" t="s">
        <v>2859</v>
      </c>
    </row>
    <row r="21" spans="1:6" ht="38.1" customHeight="1" x14ac:dyDescent="0.25">
      <c r="A21" s="107">
        <v>14</v>
      </c>
      <c r="B21" s="111" t="s">
        <v>2927</v>
      </c>
      <c r="C21" s="110" t="s">
        <v>2839</v>
      </c>
      <c r="D21" s="109"/>
      <c r="E21" s="108" t="s">
        <v>2926</v>
      </c>
      <c r="F21" s="108" t="s">
        <v>1978</v>
      </c>
    </row>
    <row r="22" spans="1:6" ht="38.1" customHeight="1" x14ac:dyDescent="0.25">
      <c r="A22" s="107">
        <v>15</v>
      </c>
      <c r="B22" s="111" t="s">
        <v>2860</v>
      </c>
      <c r="C22" s="110" t="s">
        <v>2846</v>
      </c>
      <c r="D22" s="109"/>
      <c r="E22" s="108" t="s">
        <v>2925</v>
      </c>
      <c r="F22" s="108" t="s">
        <v>2861</v>
      </c>
    </row>
    <row r="23" spans="1:6" ht="38.1" customHeight="1" x14ac:dyDescent="0.25">
      <c r="A23" s="107">
        <v>16</v>
      </c>
      <c r="B23" s="111" t="s">
        <v>2862</v>
      </c>
      <c r="C23" s="110" t="s">
        <v>2924</v>
      </c>
      <c r="D23" s="109"/>
      <c r="E23" s="108" t="s">
        <v>2923</v>
      </c>
      <c r="F23" s="108" t="s">
        <v>2863</v>
      </c>
    </row>
    <row r="24" spans="1:6" ht="38.1" customHeight="1" thickBot="1" x14ac:dyDescent="0.3">
      <c r="A24" s="107">
        <v>17</v>
      </c>
      <c r="B24" s="106" t="s">
        <v>2922</v>
      </c>
      <c r="C24" s="105" t="s">
        <v>2921</v>
      </c>
      <c r="D24" s="104"/>
      <c r="E24" s="103" t="s">
        <v>2920</v>
      </c>
      <c r="F24" s="103" t="s">
        <v>2522</v>
      </c>
    </row>
    <row r="25" spans="1:6" ht="15.75" customHeight="1" x14ac:dyDescent="0.25">
      <c r="A25" s="853" t="s">
        <v>2919</v>
      </c>
      <c r="B25" s="856"/>
      <c r="C25" s="857"/>
      <c r="D25" s="857"/>
      <c r="E25" s="857"/>
      <c r="F25" s="858"/>
    </row>
    <row r="26" spans="1:6" x14ac:dyDescent="0.25">
      <c r="A26" s="854"/>
      <c r="B26" s="859"/>
      <c r="C26" s="860"/>
      <c r="D26" s="860"/>
      <c r="E26" s="860"/>
      <c r="F26" s="861"/>
    </row>
    <row r="27" spans="1:6" x14ac:dyDescent="0.25">
      <c r="A27" s="854"/>
      <c r="B27" s="859"/>
      <c r="C27" s="860"/>
      <c r="D27" s="860"/>
      <c r="E27" s="860"/>
      <c r="F27" s="861"/>
    </row>
    <row r="28" spans="1:6" ht="15.75" thickBot="1" x14ac:dyDescent="0.3">
      <c r="A28" s="855"/>
      <c r="B28" s="862"/>
      <c r="C28" s="863"/>
      <c r="D28" s="863"/>
      <c r="E28" s="863"/>
      <c r="F28" s="864"/>
    </row>
    <row r="29" spans="1:6" ht="42" customHeight="1" x14ac:dyDescent="0.25">
      <c r="A29" s="102" t="s">
        <v>2918</v>
      </c>
      <c r="B29" s="865" t="s">
        <v>2917</v>
      </c>
      <c r="C29" s="865"/>
      <c r="D29" s="865"/>
      <c r="E29" s="865"/>
      <c r="F29" s="866"/>
    </row>
    <row r="30" spans="1:6" ht="42" customHeight="1" x14ac:dyDescent="0.25">
      <c r="A30" s="101" t="s">
        <v>2916</v>
      </c>
      <c r="B30" s="867" t="s">
        <v>2915</v>
      </c>
      <c r="C30" s="867"/>
      <c r="D30" s="867"/>
      <c r="E30" s="867"/>
      <c r="F30" s="868"/>
    </row>
    <row r="31" spans="1:6" ht="42" customHeight="1" x14ac:dyDescent="0.25">
      <c r="A31" s="101" t="s">
        <v>2914</v>
      </c>
      <c r="B31" s="867" t="s">
        <v>2913</v>
      </c>
      <c r="C31" s="867"/>
      <c r="D31" s="867"/>
      <c r="E31" s="867"/>
      <c r="F31" s="868"/>
    </row>
    <row r="32" spans="1:6" ht="42" customHeight="1" x14ac:dyDescent="0.25">
      <c r="A32" s="100" t="s">
        <v>2912</v>
      </c>
      <c r="B32" s="851" t="s">
        <v>2911</v>
      </c>
      <c r="C32" s="851"/>
      <c r="D32" s="851"/>
      <c r="E32" s="851"/>
      <c r="F32" s="852"/>
    </row>
  </sheetData>
  <mergeCells count="11">
    <mergeCell ref="B3:C3"/>
    <mergeCell ref="B4:C4"/>
    <mergeCell ref="B5:C5"/>
    <mergeCell ref="A1:F1"/>
    <mergeCell ref="A2:F2"/>
    <mergeCell ref="B32:F32"/>
    <mergeCell ref="A25:A28"/>
    <mergeCell ref="B25:F28"/>
    <mergeCell ref="B29:F29"/>
    <mergeCell ref="B30:F30"/>
    <mergeCell ref="B31:F31"/>
  </mergeCells>
  <dataValidations count="5">
    <dataValidation type="list" allowBlank="1" sqref="D23" xr:uid="{00000000-0002-0000-0000-000008000000}">
      <formula1>"Maternelle,Primaire,Collège,Lycée,Autre"</formula1>
    </dataValidation>
    <dataValidation type="list" allowBlank="1" sqref="D20" xr:uid="{00000000-0002-0000-0000-000007000000}">
      <formula1>"Oui,Non,Un peu"</formula1>
    </dataValidation>
    <dataValidation type="list" allowBlank="1" sqref="D15" xr:uid="{00000000-0002-0000-0000-000005000000}">
      <formula1>"Oui,Non,Peut-être"</formula1>
    </dataValidation>
    <dataValidation type="whole" errorStyle="warning" allowBlank="1" showErrorMessage="1" errorTitle="Note attendue" error="Saisir une note entière de 1 à 5." sqref="D9:D12 D21 D16:D17" xr:uid="{00000000-0002-0000-0000-000001000000}">
      <formula1>1</formula1>
      <formula2>5</formula2>
    </dataValidation>
    <dataValidation type="list" allowBlank="1" sqref="D8 D18 D13" xr:uid="{00000000-0002-0000-0000-000000000000}">
      <formula1>"Oui,Non"</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782B-20AB-44F7-9061-6BA51E71D614}">
  <sheetPr codeName="Feuil15"/>
  <dimension ref="A1:M312"/>
  <sheetViews>
    <sheetView showGridLines="0" workbookViewId="0">
      <selection activeCell="A4" sqref="A4"/>
    </sheetView>
  </sheetViews>
  <sheetFormatPr baseColWidth="10" defaultRowHeight="15" x14ac:dyDescent="0.25"/>
  <cols>
    <col min="1" max="1" width="25.7109375" style="99" customWidth="1"/>
    <col min="2" max="2" width="35.85546875" style="99" customWidth="1"/>
    <col min="3" max="3" width="31.42578125" style="99" customWidth="1"/>
    <col min="4" max="4" width="44.5703125" style="99" customWidth="1"/>
    <col min="5" max="5" width="14" style="99" customWidth="1"/>
    <col min="6" max="6" width="18" style="99" customWidth="1"/>
    <col min="7" max="7" width="30.28515625" style="99" customWidth="1"/>
    <col min="8" max="8" width="22" style="99" customWidth="1"/>
    <col min="9" max="9" width="33.85546875" style="99" customWidth="1"/>
    <col min="10" max="10" width="19" style="99" customWidth="1"/>
    <col min="11" max="12" width="28" style="99" customWidth="1"/>
    <col min="13" max="13" width="54.28515625" style="99" customWidth="1"/>
    <col min="14" max="16384" width="11.42578125" style="99"/>
  </cols>
  <sheetData>
    <row r="1" spans="1:13" ht="30" customHeight="1" x14ac:dyDescent="0.25">
      <c r="A1" s="804" t="s">
        <v>2961</v>
      </c>
      <c r="B1" s="805"/>
      <c r="C1" s="805"/>
      <c r="D1" s="805"/>
      <c r="E1" s="805"/>
      <c r="F1" s="249" t="s">
        <v>2962</v>
      </c>
      <c r="G1" s="250"/>
      <c r="H1" s="250"/>
      <c r="I1" s="250"/>
      <c r="J1" s="249"/>
      <c r="K1" s="250"/>
      <c r="L1" s="250"/>
      <c r="M1" s="251"/>
    </row>
    <row r="2" spans="1:13" ht="27.95" customHeight="1" x14ac:dyDescent="0.25">
      <c r="A2" s="128" t="s">
        <v>2113</v>
      </c>
      <c r="B2" s="129" t="s">
        <v>2963</v>
      </c>
      <c r="C2" s="130"/>
      <c r="D2" s="130"/>
      <c r="E2" s="130"/>
      <c r="F2" s="130"/>
      <c r="G2" s="130"/>
      <c r="H2" s="130"/>
      <c r="I2" s="768" t="s">
        <v>4701</v>
      </c>
      <c r="J2" s="130"/>
      <c r="K2" s="130"/>
      <c r="L2" s="130"/>
      <c r="M2" s="131"/>
    </row>
    <row r="3" spans="1:13" ht="27.95" customHeight="1" x14ac:dyDescent="0.25">
      <c r="A3" s="132" t="s">
        <v>2964</v>
      </c>
      <c r="B3" s="133" t="s">
        <v>2965</v>
      </c>
      <c r="C3" s="134"/>
      <c r="D3" s="134"/>
      <c r="E3" s="134"/>
      <c r="F3" s="134"/>
      <c r="G3" s="134"/>
      <c r="H3" s="134"/>
      <c r="I3" s="134"/>
      <c r="J3" s="134"/>
      <c r="K3" s="134"/>
      <c r="L3" s="134"/>
      <c r="M3" s="135"/>
    </row>
    <row r="4" spans="1:13" ht="15.75" x14ac:dyDescent="0.25">
      <c r="A4" s="98" t="s">
        <v>5193</v>
      </c>
      <c r="B4" s="136"/>
      <c r="C4" s="136"/>
      <c r="D4" s="136"/>
      <c r="E4" s="136"/>
      <c r="L4" s="136"/>
      <c r="M4" s="136"/>
    </row>
    <row r="5" spans="1:13" ht="24.95" customHeight="1" x14ac:dyDescent="0.25">
      <c r="A5" s="252" t="s">
        <v>1975</v>
      </c>
      <c r="B5" s="252" t="s">
        <v>2166</v>
      </c>
      <c r="C5" s="252" t="s">
        <v>2587</v>
      </c>
      <c r="D5" s="252" t="s">
        <v>2966</v>
      </c>
      <c r="E5" s="136"/>
      <c r="F5" s="252" t="s">
        <v>2916</v>
      </c>
      <c r="G5" s="252" t="s">
        <v>2468</v>
      </c>
      <c r="H5" s="252" t="s">
        <v>2967</v>
      </c>
      <c r="I5" s="252" t="s">
        <v>2968</v>
      </c>
      <c r="J5" s="252" t="s">
        <v>2969</v>
      </c>
      <c r="L5" s="136"/>
      <c r="M5" s="136"/>
    </row>
    <row r="6" spans="1:13" ht="39.950000000000003" customHeight="1" x14ac:dyDescent="0.25">
      <c r="A6" s="137" t="s">
        <v>2970</v>
      </c>
      <c r="B6" s="257">
        <f>COUNT(D24:D123)</f>
        <v>5</v>
      </c>
      <c r="C6" s="111" t="s">
        <v>2971</v>
      </c>
      <c r="D6" s="111" t="s">
        <v>2972</v>
      </c>
      <c r="E6" s="136"/>
      <c r="F6" s="138" t="s">
        <v>2840</v>
      </c>
      <c r="G6" s="254">
        <f>B7</f>
        <v>3.6</v>
      </c>
      <c r="H6" s="138" t="s">
        <v>2973</v>
      </c>
      <c r="I6" s="139" t="s">
        <v>2891</v>
      </c>
      <c r="J6" s="140">
        <f>B13</f>
        <v>3</v>
      </c>
      <c r="L6" s="136"/>
      <c r="M6" s="136"/>
    </row>
    <row r="7" spans="1:13" ht="39.950000000000003" customHeight="1" x14ac:dyDescent="0.25">
      <c r="A7" s="137" t="s">
        <v>2864</v>
      </c>
      <c r="B7" s="258">
        <f>IFERROR(AVERAGE(D24:D123),"")</f>
        <v>3.6</v>
      </c>
      <c r="C7" s="111" t="s">
        <v>2974</v>
      </c>
      <c r="D7" s="111" t="s">
        <v>2975</v>
      </c>
      <c r="E7" s="136"/>
      <c r="F7" s="138" t="s">
        <v>979</v>
      </c>
      <c r="G7" s="254">
        <f>B8</f>
        <v>3</v>
      </c>
      <c r="H7" s="138" t="s">
        <v>2973</v>
      </c>
      <c r="I7" s="139" t="s">
        <v>2895</v>
      </c>
      <c r="J7" s="140">
        <f>B14</f>
        <v>1</v>
      </c>
      <c r="L7" s="136"/>
      <c r="M7" s="136"/>
    </row>
    <row r="8" spans="1:13" ht="39.950000000000003" customHeight="1" x14ac:dyDescent="0.25">
      <c r="A8" s="137" t="s">
        <v>2865</v>
      </c>
      <c r="B8" s="258">
        <f>IFERROR(AVERAGE(E24:E123),"")</f>
        <v>3</v>
      </c>
      <c r="C8" s="111" t="s">
        <v>2976</v>
      </c>
      <c r="D8" s="111" t="s">
        <v>2977</v>
      </c>
      <c r="E8" s="136"/>
      <c r="F8" s="138" t="s">
        <v>2842</v>
      </c>
      <c r="G8" s="254">
        <f>B9</f>
        <v>3.2</v>
      </c>
      <c r="H8" s="138" t="s">
        <v>2973</v>
      </c>
      <c r="I8" s="139" t="s">
        <v>2890</v>
      </c>
      <c r="J8" s="140">
        <f>B15</f>
        <v>1</v>
      </c>
      <c r="L8" s="136"/>
      <c r="M8" s="136"/>
    </row>
    <row r="9" spans="1:13" ht="39.950000000000003" customHeight="1" x14ac:dyDescent="0.25">
      <c r="A9" s="137" t="s">
        <v>2866</v>
      </c>
      <c r="B9" s="258">
        <f>IFERROR(AVERAGE(F24:F123),"")</f>
        <v>3.2</v>
      </c>
      <c r="C9" s="111" t="s">
        <v>2978</v>
      </c>
      <c r="D9" s="111" t="s">
        <v>2979</v>
      </c>
      <c r="E9" s="136"/>
      <c r="F9" s="138" t="s">
        <v>2844</v>
      </c>
      <c r="G9" s="254">
        <f>B10</f>
        <v>3.2</v>
      </c>
      <c r="H9" s="138" t="s">
        <v>2973</v>
      </c>
      <c r="I9" s="139"/>
      <c r="J9" s="140"/>
      <c r="L9" s="136"/>
      <c r="M9" s="136"/>
    </row>
    <row r="10" spans="1:13" ht="39.950000000000003" customHeight="1" x14ac:dyDescent="0.25">
      <c r="A10" s="137" t="s">
        <v>2867</v>
      </c>
      <c r="B10" s="258">
        <f>IFERROR(AVERAGE(G24:G123),"")</f>
        <v>3.2</v>
      </c>
      <c r="C10" s="111" t="s">
        <v>2980</v>
      </c>
      <c r="D10" s="111" t="s">
        <v>2981</v>
      </c>
      <c r="E10" s="136"/>
      <c r="F10" s="138" t="s">
        <v>2982</v>
      </c>
      <c r="G10" s="255">
        <f>B12</f>
        <v>0.65</v>
      </c>
      <c r="H10" s="138" t="s">
        <v>2983</v>
      </c>
      <c r="I10" s="139" t="s">
        <v>2845</v>
      </c>
      <c r="J10" s="140">
        <f>B17</f>
        <v>2</v>
      </c>
      <c r="L10" s="136"/>
      <c r="M10" s="136"/>
    </row>
    <row r="11" spans="1:13" ht="39.950000000000003" customHeight="1" x14ac:dyDescent="0.25">
      <c r="A11" s="137" t="s">
        <v>2868</v>
      </c>
      <c r="B11" s="258">
        <f>IFERROR(AVERAGE(B7:B10),"")</f>
        <v>3.25</v>
      </c>
      <c r="C11" s="111" t="s">
        <v>2984</v>
      </c>
      <c r="D11" s="111" t="s">
        <v>2985</v>
      </c>
      <c r="E11" s="136"/>
      <c r="F11" s="138" t="s">
        <v>2986</v>
      </c>
      <c r="G11" s="255">
        <f>B16</f>
        <v>0.6</v>
      </c>
      <c r="H11" s="138" t="s">
        <v>2987</v>
      </c>
      <c r="I11" s="139" t="s">
        <v>2988</v>
      </c>
      <c r="J11" s="141">
        <f>B18</f>
        <v>0.4</v>
      </c>
      <c r="L11" s="136"/>
      <c r="M11" s="136"/>
    </row>
    <row r="12" spans="1:13" ht="39.950000000000003" customHeight="1" x14ac:dyDescent="0.25">
      <c r="A12" s="137" t="s">
        <v>2508</v>
      </c>
      <c r="B12" s="259">
        <f>IFERROR(B11/5,"")</f>
        <v>0.65</v>
      </c>
      <c r="C12" s="111" t="s">
        <v>2989</v>
      </c>
      <c r="D12" s="111" t="s">
        <v>2990</v>
      </c>
      <c r="E12" s="136"/>
      <c r="F12" s="138" t="s">
        <v>2586</v>
      </c>
      <c r="G12" s="256" t="str">
        <f>B21</f>
        <v>Ne pas généraliser : corriger recette/service</v>
      </c>
      <c r="H12" s="138" t="s">
        <v>2991</v>
      </c>
      <c r="I12" s="139"/>
      <c r="J12" s="142"/>
      <c r="L12" s="136"/>
      <c r="M12" s="136"/>
    </row>
    <row r="13" spans="1:13" ht="39.950000000000003" customHeight="1" x14ac:dyDescent="0.25">
      <c r="A13" s="137" t="s">
        <v>2869</v>
      </c>
      <c r="B13" s="257">
        <f>COUNTIF(I24:I123,"Oui")</f>
        <v>3</v>
      </c>
      <c r="C13" s="111" t="s">
        <v>2891</v>
      </c>
      <c r="D13" s="111" t="s">
        <v>2992</v>
      </c>
      <c r="E13" s="136"/>
      <c r="L13" s="136"/>
      <c r="M13" s="136"/>
    </row>
    <row r="14" spans="1:13" ht="39.950000000000003" customHeight="1" x14ac:dyDescent="0.25">
      <c r="A14" s="137" t="s">
        <v>2870</v>
      </c>
      <c r="B14" s="257">
        <f>COUNTIF(I24:I123,"Peut-être")</f>
        <v>1</v>
      </c>
      <c r="C14" s="111" t="s">
        <v>2895</v>
      </c>
      <c r="D14" s="111" t="s">
        <v>2993</v>
      </c>
      <c r="E14" s="136"/>
      <c r="L14" s="136"/>
      <c r="M14" s="136"/>
    </row>
    <row r="15" spans="1:13" ht="39.950000000000003" customHeight="1" x14ac:dyDescent="0.25">
      <c r="A15" s="137" t="s">
        <v>2871</v>
      </c>
      <c r="B15" s="257">
        <f>COUNTIF(I24:I123,"Non")</f>
        <v>1</v>
      </c>
      <c r="C15" s="111" t="s">
        <v>2890</v>
      </c>
      <c r="D15" s="111" t="s">
        <v>2994</v>
      </c>
      <c r="E15" s="136"/>
      <c r="L15" s="136"/>
      <c r="M15" s="136"/>
    </row>
    <row r="16" spans="1:13" ht="39.950000000000003" customHeight="1" x14ac:dyDescent="0.25">
      <c r="A16" s="137" t="s">
        <v>2872</v>
      </c>
      <c r="B16" s="259">
        <f>IFERROR(B13/SUM(B13:B15),"")</f>
        <v>0.6</v>
      </c>
      <c r="C16" s="111" t="s">
        <v>2995</v>
      </c>
      <c r="D16" s="111" t="s">
        <v>2996</v>
      </c>
      <c r="E16" s="136"/>
      <c r="L16" s="136"/>
      <c r="M16" s="136"/>
    </row>
    <row r="17" spans="1:13" ht="39.950000000000003" customHeight="1" x14ac:dyDescent="0.25">
      <c r="A17" s="137" t="s">
        <v>2873</v>
      </c>
      <c r="B17" s="257">
        <f>COUNTIF(H24:H123,"Oui")</f>
        <v>2</v>
      </c>
      <c r="C17" s="111" t="s">
        <v>2891</v>
      </c>
      <c r="D17" s="111" t="s">
        <v>2874</v>
      </c>
      <c r="E17" s="136"/>
      <c r="L17" s="136"/>
      <c r="M17" s="136"/>
    </row>
    <row r="18" spans="1:13" ht="39.950000000000003" customHeight="1" x14ac:dyDescent="0.25">
      <c r="A18" s="137" t="s">
        <v>2875</v>
      </c>
      <c r="B18" s="259">
        <f>IFERROR(B17/B6,"")</f>
        <v>0.4</v>
      </c>
      <c r="C18" s="111" t="s">
        <v>2997</v>
      </c>
      <c r="D18" s="111" t="s">
        <v>2998</v>
      </c>
      <c r="E18" s="136"/>
      <c r="L18" s="136"/>
      <c r="M18" s="136"/>
    </row>
    <row r="19" spans="1:13" ht="39.950000000000003" customHeight="1" x14ac:dyDescent="0.25">
      <c r="A19" s="137" t="s">
        <v>2876</v>
      </c>
      <c r="B19" s="257" t="str">
        <f>IF(B8="","",IF(B8&lt;3,"ALERTE : texture à retravailler",IF(B8&lt;3.5,"VIGILANCE : texture perfectible","OK")))</f>
        <v>VIGILANCE : texture perfectible</v>
      </c>
      <c r="C19" s="111" t="s">
        <v>2999</v>
      </c>
      <c r="D19" s="111" t="s">
        <v>3000</v>
      </c>
      <c r="E19" s="136"/>
      <c r="L19" s="136"/>
      <c r="M19" s="136"/>
    </row>
    <row r="20" spans="1:13" ht="39.950000000000003" customHeight="1" x14ac:dyDescent="0.25">
      <c r="A20" s="137" t="s">
        <v>2877</v>
      </c>
      <c r="B20" s="257" t="str">
        <f>IF(B12="","",IF(B12&lt;0.6,"ALERTE : satisfaction faible",IF(B12&lt;0.75,"VIGILANCE : satisfaction moyenne","OK")))</f>
        <v>VIGILANCE : satisfaction moyenne</v>
      </c>
      <c r="C20" s="111" t="s">
        <v>2999</v>
      </c>
      <c r="D20" s="111" t="s">
        <v>3001</v>
      </c>
      <c r="E20" s="136"/>
      <c r="L20" s="136"/>
      <c r="M20" s="136"/>
    </row>
    <row r="21" spans="1:13" ht="39.950000000000003" customHeight="1" x14ac:dyDescent="0.25">
      <c r="A21" s="137" t="s">
        <v>2878</v>
      </c>
      <c r="B21" s="257" t="str">
        <f>IF(B6=0,"Saisir les réponses",IF(OR(B12&lt;0.6,B18&gt;0.25,B13&lt;B15),"Ne pas généraliser : corriger recette/service",IF(OR(B12&lt;0.75,B8&lt;3.5),"Tester à nouveau après ajustement","Recette exploitable / à reconduire")))</f>
        <v>Ne pas généraliser : corriger recette/service</v>
      </c>
      <c r="C21" s="111" t="s">
        <v>2999</v>
      </c>
      <c r="D21" s="111" t="s">
        <v>3002</v>
      </c>
      <c r="E21" s="136"/>
      <c r="F21" s="136"/>
      <c r="G21" s="136"/>
      <c r="H21" s="136"/>
      <c r="I21" s="136"/>
      <c r="J21" s="136"/>
      <c r="K21" s="136"/>
      <c r="L21" s="136"/>
      <c r="M21" s="136"/>
    </row>
    <row r="22" spans="1:13" ht="39.950000000000003" customHeight="1" x14ac:dyDescent="0.25">
      <c r="A22" s="136"/>
      <c r="B22" s="260"/>
      <c r="C22" s="143" t="s">
        <v>3003</v>
      </c>
      <c r="D22" s="136"/>
      <c r="E22" s="136"/>
      <c r="F22" s="136"/>
      <c r="G22" s="136"/>
      <c r="H22" s="143" t="s">
        <v>3003</v>
      </c>
      <c r="I22" s="143" t="s">
        <v>3003</v>
      </c>
      <c r="J22" s="136"/>
      <c r="K22" s="136"/>
      <c r="L22" s="136"/>
      <c r="M22" s="136"/>
    </row>
    <row r="23" spans="1:13" ht="36" customHeight="1" x14ac:dyDescent="0.25">
      <c r="A23" s="253" t="s">
        <v>2879</v>
      </c>
      <c r="B23" s="253" t="s">
        <v>2880</v>
      </c>
      <c r="C23" s="253" t="s">
        <v>2863</v>
      </c>
      <c r="D23" s="253" t="s">
        <v>2881</v>
      </c>
      <c r="E23" s="253" t="s">
        <v>3004</v>
      </c>
      <c r="F23" s="253" t="s">
        <v>2882</v>
      </c>
      <c r="G23" s="253" t="s">
        <v>2883</v>
      </c>
      <c r="H23" s="253" t="s">
        <v>2884</v>
      </c>
      <c r="I23" s="253" t="s">
        <v>2885</v>
      </c>
      <c r="J23" s="253" t="s">
        <v>2886</v>
      </c>
      <c r="K23" s="253" t="s">
        <v>2847</v>
      </c>
      <c r="L23" s="253" t="s">
        <v>2887</v>
      </c>
      <c r="M23" s="253" t="s">
        <v>2888</v>
      </c>
    </row>
    <row r="24" spans="1:13" ht="24" customHeight="1" x14ac:dyDescent="0.25">
      <c r="A24" s="144">
        <v>1</v>
      </c>
      <c r="B24" s="145">
        <v>46138</v>
      </c>
      <c r="C24" s="146" t="s">
        <v>2899</v>
      </c>
      <c r="D24" s="147">
        <v>4</v>
      </c>
      <c r="E24" s="147">
        <v>3</v>
      </c>
      <c r="F24" s="147">
        <v>4</v>
      </c>
      <c r="G24" s="147">
        <v>3</v>
      </c>
      <c r="H24" s="148" t="s">
        <v>2890</v>
      </c>
      <c r="I24" s="148" t="s">
        <v>2891</v>
      </c>
      <c r="J24" s="149" t="s">
        <v>2007</v>
      </c>
      <c r="K24" s="150"/>
      <c r="L24" s="151" t="s">
        <v>2892</v>
      </c>
      <c r="M24" s="150" t="s">
        <v>2893</v>
      </c>
    </row>
    <row r="25" spans="1:13" ht="24" customHeight="1" x14ac:dyDescent="0.25">
      <c r="A25" s="144">
        <v>2</v>
      </c>
      <c r="B25" s="145"/>
      <c r="C25" s="146" t="s">
        <v>2889</v>
      </c>
      <c r="D25" s="147">
        <v>3</v>
      </c>
      <c r="E25" s="147">
        <v>2</v>
      </c>
      <c r="F25" s="147">
        <v>3</v>
      </c>
      <c r="G25" s="147">
        <v>2</v>
      </c>
      <c r="H25" s="148" t="s">
        <v>2891</v>
      </c>
      <c r="I25" s="148" t="s">
        <v>2895</v>
      </c>
      <c r="J25" s="149" t="s">
        <v>2376</v>
      </c>
      <c r="K25" s="150" t="s">
        <v>2896</v>
      </c>
      <c r="L25" s="151" t="s">
        <v>2897</v>
      </c>
      <c r="M25" s="150" t="s">
        <v>2898</v>
      </c>
    </row>
    <row r="26" spans="1:13" ht="24" customHeight="1" x14ac:dyDescent="0.25">
      <c r="A26" s="144">
        <v>3</v>
      </c>
      <c r="B26" s="145"/>
      <c r="C26" s="146" t="s">
        <v>3005</v>
      </c>
      <c r="D26" s="147">
        <v>4</v>
      </c>
      <c r="E26" s="147">
        <v>4</v>
      </c>
      <c r="F26" s="147">
        <v>3</v>
      </c>
      <c r="G26" s="147">
        <v>4</v>
      </c>
      <c r="H26" s="148" t="s">
        <v>2890</v>
      </c>
      <c r="I26" s="148" t="s">
        <v>2891</v>
      </c>
      <c r="J26" s="149"/>
      <c r="K26" s="150" t="s">
        <v>2900</v>
      </c>
      <c r="L26" s="151"/>
      <c r="M26" s="150" t="s">
        <v>2901</v>
      </c>
    </row>
    <row r="27" spans="1:13" ht="24" customHeight="1" x14ac:dyDescent="0.25">
      <c r="A27" s="144">
        <v>4</v>
      </c>
      <c r="B27" s="145"/>
      <c r="C27" s="146" t="s">
        <v>2894</v>
      </c>
      <c r="D27" s="147">
        <v>2</v>
      </c>
      <c r="E27" s="147">
        <v>2</v>
      </c>
      <c r="F27" s="147">
        <v>2</v>
      </c>
      <c r="G27" s="147">
        <v>2</v>
      </c>
      <c r="H27" s="148" t="s">
        <v>2891</v>
      </c>
      <c r="I27" s="148" t="s">
        <v>2890</v>
      </c>
      <c r="J27" s="149"/>
      <c r="K27" s="150" t="s">
        <v>2902</v>
      </c>
      <c r="L27" s="151" t="s">
        <v>2903</v>
      </c>
      <c r="M27" s="150" t="s">
        <v>2904</v>
      </c>
    </row>
    <row r="28" spans="1:13" ht="24" customHeight="1" x14ac:dyDescent="0.25">
      <c r="A28" s="144">
        <v>5</v>
      </c>
      <c r="B28" s="145"/>
      <c r="C28" s="146" t="s">
        <v>3006</v>
      </c>
      <c r="D28" s="147">
        <v>5</v>
      </c>
      <c r="E28" s="147">
        <v>4</v>
      </c>
      <c r="F28" s="147">
        <v>4</v>
      </c>
      <c r="G28" s="147">
        <v>5</v>
      </c>
      <c r="H28" s="148" t="s">
        <v>2890</v>
      </c>
      <c r="I28" s="148" t="s">
        <v>2891</v>
      </c>
      <c r="J28" s="149" t="s">
        <v>410</v>
      </c>
      <c r="K28" s="150"/>
      <c r="L28" s="151" t="s">
        <v>2905</v>
      </c>
      <c r="M28" s="150" t="s">
        <v>2906</v>
      </c>
    </row>
    <row r="29" spans="1:13" ht="24" customHeight="1" x14ac:dyDescent="0.25">
      <c r="A29" s="144">
        <v>6</v>
      </c>
      <c r="B29" s="145"/>
      <c r="C29" s="152"/>
      <c r="D29" s="147"/>
      <c r="E29" s="147"/>
      <c r="F29" s="147"/>
      <c r="G29" s="147"/>
      <c r="H29" s="148"/>
      <c r="I29" s="148"/>
      <c r="J29" s="149"/>
      <c r="K29" s="150"/>
      <c r="L29" s="151"/>
      <c r="M29" s="150"/>
    </row>
    <row r="30" spans="1:13" ht="24" customHeight="1" x14ac:dyDescent="0.25">
      <c r="A30" s="144">
        <v>7</v>
      </c>
      <c r="B30" s="145"/>
      <c r="C30" s="152"/>
      <c r="D30" s="147"/>
      <c r="E30" s="147"/>
      <c r="F30" s="147"/>
      <c r="G30" s="147"/>
      <c r="H30" s="148"/>
      <c r="I30" s="148"/>
      <c r="J30" s="149"/>
      <c r="K30" s="150"/>
      <c r="L30" s="151"/>
      <c r="M30" s="150"/>
    </row>
    <row r="31" spans="1:13" ht="24" customHeight="1" x14ac:dyDescent="0.25">
      <c r="A31" s="144">
        <v>8</v>
      </c>
      <c r="B31" s="145"/>
      <c r="C31" s="152"/>
      <c r="D31" s="147"/>
      <c r="E31" s="147"/>
      <c r="F31" s="147"/>
      <c r="G31" s="147"/>
      <c r="H31" s="148"/>
      <c r="I31" s="148"/>
      <c r="J31" s="149"/>
      <c r="K31" s="150"/>
      <c r="L31" s="151"/>
      <c r="M31" s="150"/>
    </row>
    <row r="32" spans="1:13" ht="24" customHeight="1" x14ac:dyDescent="0.25">
      <c r="A32" s="144">
        <v>9</v>
      </c>
      <c r="B32" s="145"/>
      <c r="C32" s="152"/>
      <c r="D32" s="147"/>
      <c r="E32" s="147"/>
      <c r="F32" s="147"/>
      <c r="G32" s="147"/>
      <c r="H32" s="148"/>
      <c r="I32" s="148"/>
      <c r="J32" s="149"/>
      <c r="K32" s="150"/>
      <c r="L32" s="151"/>
      <c r="M32" s="150"/>
    </row>
    <row r="33" spans="1:13" ht="24" customHeight="1" x14ac:dyDescent="0.25">
      <c r="A33" s="144">
        <v>10</v>
      </c>
      <c r="B33" s="145"/>
      <c r="C33" s="152"/>
      <c r="D33" s="147"/>
      <c r="E33" s="147"/>
      <c r="F33" s="147"/>
      <c r="G33" s="147"/>
      <c r="H33" s="148"/>
      <c r="I33" s="148"/>
      <c r="J33" s="149"/>
      <c r="K33" s="150"/>
      <c r="L33" s="151"/>
      <c r="M33" s="150"/>
    </row>
    <row r="34" spans="1:13" ht="24" customHeight="1" x14ac:dyDescent="0.25">
      <c r="A34" s="144">
        <v>11</v>
      </c>
      <c r="B34" s="145"/>
      <c r="C34" s="152"/>
      <c r="D34" s="147"/>
      <c r="E34" s="147"/>
      <c r="F34" s="147"/>
      <c r="G34" s="147"/>
      <c r="H34" s="148"/>
      <c r="I34" s="148"/>
      <c r="J34" s="149"/>
      <c r="K34" s="150"/>
      <c r="L34" s="151"/>
      <c r="M34" s="150"/>
    </row>
    <row r="35" spans="1:13" ht="24" customHeight="1" x14ac:dyDescent="0.25">
      <c r="A35" s="144">
        <v>12</v>
      </c>
      <c r="B35" s="145"/>
      <c r="C35" s="152"/>
      <c r="D35" s="147"/>
      <c r="E35" s="147"/>
      <c r="F35" s="147"/>
      <c r="G35" s="147"/>
      <c r="H35" s="148"/>
      <c r="I35" s="148"/>
      <c r="J35" s="149"/>
      <c r="K35" s="150"/>
      <c r="L35" s="151"/>
      <c r="M35" s="150"/>
    </row>
    <row r="36" spans="1:13" ht="24" customHeight="1" x14ac:dyDescent="0.25">
      <c r="A36" s="144">
        <v>13</v>
      </c>
      <c r="B36" s="145"/>
      <c r="C36" s="152"/>
      <c r="D36" s="147"/>
      <c r="E36" s="147"/>
      <c r="F36" s="147"/>
      <c r="G36" s="147"/>
      <c r="H36" s="148"/>
      <c r="I36" s="148"/>
      <c r="J36" s="149"/>
      <c r="K36" s="150"/>
      <c r="L36" s="151"/>
      <c r="M36" s="150"/>
    </row>
    <row r="37" spans="1:13" ht="24" customHeight="1" x14ac:dyDescent="0.25">
      <c r="A37" s="144">
        <v>14</v>
      </c>
      <c r="B37" s="145"/>
      <c r="C37" s="152"/>
      <c r="D37" s="147"/>
      <c r="E37" s="147"/>
      <c r="F37" s="147"/>
      <c r="G37" s="147"/>
      <c r="H37" s="148"/>
      <c r="I37" s="148"/>
      <c r="J37" s="149"/>
      <c r="K37" s="150"/>
      <c r="L37" s="151"/>
      <c r="M37" s="150"/>
    </row>
    <row r="38" spans="1:13" ht="24" customHeight="1" x14ac:dyDescent="0.25">
      <c r="A38" s="144">
        <v>15</v>
      </c>
      <c r="B38" s="145"/>
      <c r="C38" s="152"/>
      <c r="D38" s="147"/>
      <c r="E38" s="147"/>
      <c r="F38" s="147"/>
      <c r="G38" s="147"/>
      <c r="H38" s="148"/>
      <c r="I38" s="148"/>
      <c r="J38" s="149"/>
      <c r="K38" s="150"/>
      <c r="L38" s="151"/>
      <c r="M38" s="150"/>
    </row>
    <row r="39" spans="1:13" ht="24" customHeight="1" x14ac:dyDescent="0.25">
      <c r="A39" s="144">
        <v>16</v>
      </c>
      <c r="B39" s="145"/>
      <c r="C39" s="152"/>
      <c r="D39" s="147"/>
      <c r="E39" s="147"/>
      <c r="F39" s="147"/>
      <c r="G39" s="147"/>
      <c r="H39" s="148"/>
      <c r="I39" s="148"/>
      <c r="J39" s="149"/>
      <c r="K39" s="150"/>
      <c r="L39" s="151"/>
      <c r="M39" s="150"/>
    </row>
    <row r="40" spans="1:13" ht="24" customHeight="1" x14ac:dyDescent="0.25">
      <c r="A40" s="144">
        <v>17</v>
      </c>
      <c r="B40" s="145"/>
      <c r="C40" s="152"/>
      <c r="D40" s="147"/>
      <c r="E40" s="147"/>
      <c r="F40" s="147"/>
      <c r="G40" s="147"/>
      <c r="H40" s="148"/>
      <c r="I40" s="148"/>
      <c r="J40" s="149"/>
      <c r="K40" s="150"/>
      <c r="L40" s="151"/>
      <c r="M40" s="150"/>
    </row>
    <row r="41" spans="1:13" ht="24" customHeight="1" x14ac:dyDescent="0.25">
      <c r="A41" s="144">
        <v>18</v>
      </c>
      <c r="B41" s="145"/>
      <c r="C41" s="152"/>
      <c r="D41" s="147"/>
      <c r="E41" s="147"/>
      <c r="F41" s="147"/>
      <c r="G41" s="147"/>
      <c r="H41" s="148"/>
      <c r="I41" s="148"/>
      <c r="J41" s="149"/>
      <c r="K41" s="150"/>
      <c r="L41" s="151"/>
      <c r="M41" s="150"/>
    </row>
    <row r="42" spans="1:13" ht="24" customHeight="1" x14ac:dyDescent="0.25">
      <c r="A42" s="144">
        <v>19</v>
      </c>
      <c r="B42" s="145"/>
      <c r="C42" s="152"/>
      <c r="D42" s="147"/>
      <c r="E42" s="147"/>
      <c r="F42" s="147"/>
      <c r="G42" s="147"/>
      <c r="H42" s="148"/>
      <c r="I42" s="148"/>
      <c r="J42" s="149"/>
      <c r="K42" s="150"/>
      <c r="L42" s="151"/>
      <c r="M42" s="150"/>
    </row>
    <row r="43" spans="1:13" ht="24" customHeight="1" x14ac:dyDescent="0.25">
      <c r="A43" s="144">
        <v>20</v>
      </c>
      <c r="B43" s="145"/>
      <c r="C43" s="152"/>
      <c r="D43" s="147"/>
      <c r="E43" s="147"/>
      <c r="F43" s="147"/>
      <c r="G43" s="147"/>
      <c r="H43" s="148"/>
      <c r="I43" s="148"/>
      <c r="J43" s="149"/>
      <c r="K43" s="150"/>
      <c r="L43" s="151"/>
      <c r="M43" s="150"/>
    </row>
    <row r="44" spans="1:13" ht="24" customHeight="1" x14ac:dyDescent="0.25">
      <c r="A44" s="144">
        <v>21</v>
      </c>
      <c r="B44" s="145"/>
      <c r="C44" s="152"/>
      <c r="D44" s="147"/>
      <c r="E44" s="147"/>
      <c r="F44" s="147"/>
      <c r="G44" s="147"/>
      <c r="H44" s="148"/>
      <c r="I44" s="148"/>
      <c r="J44" s="149"/>
      <c r="K44" s="150"/>
      <c r="L44" s="151"/>
      <c r="M44" s="150"/>
    </row>
    <row r="45" spans="1:13" ht="24" customHeight="1" x14ac:dyDescent="0.25">
      <c r="A45" s="144">
        <v>22</v>
      </c>
      <c r="B45" s="145"/>
      <c r="C45" s="152"/>
      <c r="D45" s="147"/>
      <c r="E45" s="147"/>
      <c r="F45" s="147"/>
      <c r="G45" s="147"/>
      <c r="H45" s="148"/>
      <c r="I45" s="148"/>
      <c r="J45" s="149"/>
      <c r="K45" s="150"/>
      <c r="L45" s="151"/>
      <c r="M45" s="150"/>
    </row>
    <row r="46" spans="1:13" ht="24" customHeight="1" x14ac:dyDescent="0.25">
      <c r="A46" s="144">
        <v>23</v>
      </c>
      <c r="B46" s="145"/>
      <c r="C46" s="152"/>
      <c r="D46" s="147"/>
      <c r="E46" s="147"/>
      <c r="F46" s="147"/>
      <c r="G46" s="147"/>
      <c r="H46" s="148"/>
      <c r="I46" s="148"/>
      <c r="J46" s="149"/>
      <c r="K46" s="150"/>
      <c r="L46" s="151"/>
      <c r="M46" s="150"/>
    </row>
    <row r="47" spans="1:13" ht="24" customHeight="1" x14ac:dyDescent="0.25">
      <c r="A47" s="144">
        <v>24</v>
      </c>
      <c r="B47" s="145"/>
      <c r="C47" s="152"/>
      <c r="D47" s="147"/>
      <c r="E47" s="147"/>
      <c r="F47" s="147"/>
      <c r="G47" s="147"/>
      <c r="H47" s="148"/>
      <c r="I47" s="148"/>
      <c r="J47" s="149"/>
      <c r="K47" s="150"/>
      <c r="L47" s="151"/>
      <c r="M47" s="150"/>
    </row>
    <row r="48" spans="1:13" ht="24" customHeight="1" x14ac:dyDescent="0.25">
      <c r="A48" s="144">
        <v>25</v>
      </c>
      <c r="B48" s="145"/>
      <c r="C48" s="152"/>
      <c r="D48" s="147"/>
      <c r="E48" s="147"/>
      <c r="F48" s="147"/>
      <c r="G48" s="147"/>
      <c r="H48" s="148"/>
      <c r="I48" s="148"/>
      <c r="J48" s="149"/>
      <c r="K48" s="150"/>
      <c r="L48" s="151"/>
      <c r="M48" s="150"/>
    </row>
    <row r="49" spans="1:13" ht="24" customHeight="1" x14ac:dyDescent="0.25">
      <c r="A49" s="144">
        <v>26</v>
      </c>
      <c r="B49" s="145"/>
      <c r="C49" s="152"/>
      <c r="D49" s="147"/>
      <c r="E49" s="147"/>
      <c r="F49" s="147"/>
      <c r="G49" s="147"/>
      <c r="H49" s="148"/>
      <c r="I49" s="148"/>
      <c r="J49" s="149"/>
      <c r="K49" s="150"/>
      <c r="L49" s="151"/>
      <c r="M49" s="150"/>
    </row>
    <row r="50" spans="1:13" ht="24" customHeight="1" x14ac:dyDescent="0.25">
      <c r="A50" s="144">
        <v>27</v>
      </c>
      <c r="B50" s="145"/>
      <c r="C50" s="152"/>
      <c r="D50" s="147"/>
      <c r="E50" s="147"/>
      <c r="F50" s="147"/>
      <c r="G50" s="147"/>
      <c r="H50" s="148"/>
      <c r="I50" s="148"/>
      <c r="J50" s="149"/>
      <c r="K50" s="150"/>
      <c r="L50" s="151"/>
      <c r="M50" s="150"/>
    </row>
    <row r="51" spans="1:13" ht="24" customHeight="1" x14ac:dyDescent="0.25">
      <c r="A51" s="144">
        <v>28</v>
      </c>
      <c r="B51" s="145"/>
      <c r="C51" s="152"/>
      <c r="D51" s="147"/>
      <c r="E51" s="147"/>
      <c r="F51" s="147"/>
      <c r="G51" s="147"/>
      <c r="H51" s="148"/>
      <c r="I51" s="148"/>
      <c r="J51" s="149"/>
      <c r="K51" s="150"/>
      <c r="L51" s="151"/>
      <c r="M51" s="150"/>
    </row>
    <row r="52" spans="1:13" ht="24" customHeight="1" x14ac:dyDescent="0.25">
      <c r="A52" s="144">
        <v>29</v>
      </c>
      <c r="B52" s="145"/>
      <c r="C52" s="152"/>
      <c r="D52" s="147"/>
      <c r="E52" s="147"/>
      <c r="F52" s="147"/>
      <c r="G52" s="147"/>
      <c r="H52" s="148"/>
      <c r="I52" s="148"/>
      <c r="J52" s="149"/>
      <c r="K52" s="150"/>
      <c r="L52" s="151"/>
      <c r="M52" s="150"/>
    </row>
    <row r="53" spans="1:13" ht="24" customHeight="1" x14ac:dyDescent="0.25">
      <c r="A53" s="144">
        <v>30</v>
      </c>
      <c r="B53" s="145"/>
      <c r="C53" s="152"/>
      <c r="D53" s="147"/>
      <c r="E53" s="147"/>
      <c r="F53" s="147"/>
      <c r="G53" s="147"/>
      <c r="H53" s="148"/>
      <c r="I53" s="148"/>
      <c r="J53" s="149"/>
      <c r="K53" s="150"/>
      <c r="L53" s="151"/>
      <c r="M53" s="150"/>
    </row>
    <row r="54" spans="1:13" ht="24" customHeight="1" x14ac:dyDescent="0.25">
      <c r="A54" s="144">
        <v>31</v>
      </c>
      <c r="B54" s="145"/>
      <c r="C54" s="152"/>
      <c r="D54" s="147"/>
      <c r="E54" s="147"/>
      <c r="F54" s="147"/>
      <c r="G54" s="147"/>
      <c r="H54" s="148"/>
      <c r="I54" s="148"/>
      <c r="J54" s="149"/>
      <c r="K54" s="150"/>
      <c r="L54" s="151"/>
      <c r="M54" s="150"/>
    </row>
    <row r="55" spans="1:13" ht="24" customHeight="1" x14ac:dyDescent="0.25">
      <c r="A55" s="144">
        <v>32</v>
      </c>
      <c r="B55" s="145"/>
      <c r="C55" s="152"/>
      <c r="D55" s="147"/>
      <c r="E55" s="147"/>
      <c r="F55" s="147"/>
      <c r="G55" s="147"/>
      <c r="H55" s="148"/>
      <c r="I55" s="148"/>
      <c r="J55" s="149"/>
      <c r="K55" s="150"/>
      <c r="L55" s="151"/>
      <c r="M55" s="150"/>
    </row>
    <row r="56" spans="1:13" ht="24" customHeight="1" x14ac:dyDescent="0.25">
      <c r="A56" s="144">
        <v>33</v>
      </c>
      <c r="B56" s="145"/>
      <c r="C56" s="152"/>
      <c r="D56" s="147"/>
      <c r="E56" s="147"/>
      <c r="F56" s="147"/>
      <c r="G56" s="147"/>
      <c r="H56" s="148"/>
      <c r="I56" s="148"/>
      <c r="J56" s="149"/>
      <c r="K56" s="150"/>
      <c r="L56" s="151"/>
      <c r="M56" s="150"/>
    </row>
    <row r="57" spans="1:13" ht="24" customHeight="1" x14ac:dyDescent="0.25">
      <c r="A57" s="144">
        <v>34</v>
      </c>
      <c r="B57" s="145"/>
      <c r="C57" s="152"/>
      <c r="D57" s="147"/>
      <c r="E57" s="147"/>
      <c r="F57" s="147"/>
      <c r="G57" s="147"/>
      <c r="H57" s="148"/>
      <c r="I57" s="148"/>
      <c r="J57" s="149"/>
      <c r="K57" s="150"/>
      <c r="L57" s="151"/>
      <c r="M57" s="150"/>
    </row>
    <row r="58" spans="1:13" ht="24" customHeight="1" x14ac:dyDescent="0.25">
      <c r="A58" s="144">
        <v>35</v>
      </c>
      <c r="B58" s="145"/>
      <c r="C58" s="152"/>
      <c r="D58" s="147"/>
      <c r="E58" s="147"/>
      <c r="F58" s="147"/>
      <c r="G58" s="147"/>
      <c r="H58" s="148"/>
      <c r="I58" s="148"/>
      <c r="J58" s="149"/>
      <c r="K58" s="150"/>
      <c r="L58" s="151"/>
      <c r="M58" s="150"/>
    </row>
    <row r="59" spans="1:13" ht="24" customHeight="1" x14ac:dyDescent="0.25">
      <c r="A59" s="144">
        <v>36</v>
      </c>
      <c r="B59" s="145"/>
      <c r="C59" s="152"/>
      <c r="D59" s="147"/>
      <c r="E59" s="147"/>
      <c r="F59" s="147"/>
      <c r="G59" s="147"/>
      <c r="H59" s="148"/>
      <c r="I59" s="148"/>
      <c r="J59" s="149"/>
      <c r="K59" s="150"/>
      <c r="L59" s="151"/>
      <c r="M59" s="150"/>
    </row>
    <row r="60" spans="1:13" ht="24" customHeight="1" x14ac:dyDescent="0.25">
      <c r="A60" s="144">
        <v>37</v>
      </c>
      <c r="B60" s="145"/>
      <c r="C60" s="152"/>
      <c r="D60" s="147"/>
      <c r="E60" s="147"/>
      <c r="F60" s="147"/>
      <c r="G60" s="147"/>
      <c r="H60" s="148"/>
      <c r="I60" s="148"/>
      <c r="J60" s="149"/>
      <c r="K60" s="150"/>
      <c r="L60" s="151"/>
      <c r="M60" s="150"/>
    </row>
    <row r="61" spans="1:13" ht="24" customHeight="1" x14ac:dyDescent="0.25">
      <c r="A61" s="144">
        <v>38</v>
      </c>
      <c r="B61" s="145"/>
      <c r="C61" s="152"/>
      <c r="D61" s="147"/>
      <c r="E61" s="147"/>
      <c r="F61" s="147"/>
      <c r="G61" s="147"/>
      <c r="H61" s="148"/>
      <c r="I61" s="148"/>
      <c r="J61" s="149"/>
      <c r="K61" s="150"/>
      <c r="L61" s="151"/>
      <c r="M61" s="150"/>
    </row>
    <row r="62" spans="1:13" ht="24" customHeight="1" x14ac:dyDescent="0.25">
      <c r="A62" s="144">
        <v>39</v>
      </c>
      <c r="B62" s="145"/>
      <c r="C62" s="152"/>
      <c r="D62" s="147"/>
      <c r="E62" s="147"/>
      <c r="F62" s="147"/>
      <c r="G62" s="147"/>
      <c r="H62" s="148"/>
      <c r="I62" s="148"/>
      <c r="J62" s="149"/>
      <c r="K62" s="150"/>
      <c r="L62" s="151"/>
      <c r="M62" s="150"/>
    </row>
    <row r="63" spans="1:13" ht="24" customHeight="1" x14ac:dyDescent="0.25">
      <c r="A63" s="144">
        <v>40</v>
      </c>
      <c r="B63" s="145"/>
      <c r="C63" s="152"/>
      <c r="D63" s="147"/>
      <c r="E63" s="147"/>
      <c r="F63" s="147"/>
      <c r="G63" s="147"/>
      <c r="H63" s="148"/>
      <c r="I63" s="148"/>
      <c r="J63" s="149"/>
      <c r="K63" s="150"/>
      <c r="L63" s="151"/>
      <c r="M63" s="150"/>
    </row>
    <row r="64" spans="1:13" ht="24" customHeight="1" x14ac:dyDescent="0.25">
      <c r="A64" s="144">
        <v>41</v>
      </c>
      <c r="B64" s="145"/>
      <c r="C64" s="152"/>
      <c r="D64" s="147"/>
      <c r="E64" s="147"/>
      <c r="F64" s="147"/>
      <c r="G64" s="147"/>
      <c r="H64" s="148"/>
      <c r="I64" s="148"/>
      <c r="J64" s="149"/>
      <c r="K64" s="150"/>
      <c r="L64" s="151"/>
      <c r="M64" s="150"/>
    </row>
    <row r="65" spans="1:13" ht="24" customHeight="1" x14ac:dyDescent="0.25">
      <c r="A65" s="144">
        <v>42</v>
      </c>
      <c r="B65" s="145"/>
      <c r="C65" s="152"/>
      <c r="D65" s="147"/>
      <c r="E65" s="147"/>
      <c r="F65" s="147"/>
      <c r="G65" s="147"/>
      <c r="H65" s="148"/>
      <c r="I65" s="148"/>
      <c r="J65" s="149"/>
      <c r="K65" s="150"/>
      <c r="L65" s="151"/>
      <c r="M65" s="150"/>
    </row>
    <row r="66" spans="1:13" ht="24" customHeight="1" x14ac:dyDescent="0.25">
      <c r="A66" s="144">
        <v>43</v>
      </c>
      <c r="B66" s="145"/>
      <c r="C66" s="152"/>
      <c r="D66" s="147"/>
      <c r="E66" s="147"/>
      <c r="F66" s="147"/>
      <c r="G66" s="147"/>
      <c r="H66" s="148"/>
      <c r="I66" s="148"/>
      <c r="J66" s="149"/>
      <c r="K66" s="150"/>
      <c r="L66" s="151"/>
      <c r="M66" s="150"/>
    </row>
    <row r="67" spans="1:13" ht="24" customHeight="1" x14ac:dyDescent="0.25">
      <c r="A67" s="144">
        <v>44</v>
      </c>
      <c r="B67" s="145"/>
      <c r="C67" s="152"/>
      <c r="D67" s="147"/>
      <c r="E67" s="147"/>
      <c r="F67" s="147"/>
      <c r="G67" s="147"/>
      <c r="H67" s="148"/>
      <c r="I67" s="148"/>
      <c r="J67" s="149"/>
      <c r="K67" s="150"/>
      <c r="L67" s="151"/>
      <c r="M67" s="150"/>
    </row>
    <row r="68" spans="1:13" ht="24" customHeight="1" x14ac:dyDescent="0.25">
      <c r="A68" s="144">
        <v>45</v>
      </c>
      <c r="B68" s="145"/>
      <c r="C68" s="152"/>
      <c r="D68" s="147"/>
      <c r="E68" s="147"/>
      <c r="F68" s="147"/>
      <c r="G68" s="147"/>
      <c r="H68" s="148"/>
      <c r="I68" s="148"/>
      <c r="J68" s="149"/>
      <c r="K68" s="150"/>
      <c r="L68" s="151"/>
      <c r="M68" s="150"/>
    </row>
    <row r="69" spans="1:13" ht="24" customHeight="1" x14ac:dyDescent="0.25">
      <c r="A69" s="144">
        <v>46</v>
      </c>
      <c r="B69" s="145"/>
      <c r="C69" s="152"/>
      <c r="D69" s="147"/>
      <c r="E69" s="147"/>
      <c r="F69" s="147"/>
      <c r="G69" s="147"/>
      <c r="H69" s="148"/>
      <c r="I69" s="148"/>
      <c r="J69" s="149"/>
      <c r="K69" s="150"/>
      <c r="L69" s="151"/>
      <c r="M69" s="150"/>
    </row>
    <row r="70" spans="1:13" ht="24" customHeight="1" x14ac:dyDescent="0.25">
      <c r="A70" s="144">
        <v>47</v>
      </c>
      <c r="B70" s="145"/>
      <c r="C70" s="152"/>
      <c r="D70" s="147"/>
      <c r="E70" s="147"/>
      <c r="F70" s="147"/>
      <c r="G70" s="147"/>
      <c r="H70" s="148"/>
      <c r="I70" s="148"/>
      <c r="J70" s="149"/>
      <c r="K70" s="150"/>
      <c r="L70" s="151"/>
      <c r="M70" s="150"/>
    </row>
    <row r="71" spans="1:13" ht="24" customHeight="1" x14ac:dyDescent="0.25">
      <c r="A71" s="144">
        <v>48</v>
      </c>
      <c r="B71" s="145"/>
      <c r="C71" s="152"/>
      <c r="D71" s="147"/>
      <c r="E71" s="147"/>
      <c r="F71" s="147"/>
      <c r="G71" s="147"/>
      <c r="H71" s="148"/>
      <c r="I71" s="148"/>
      <c r="J71" s="149"/>
      <c r="K71" s="150"/>
      <c r="L71" s="151"/>
      <c r="M71" s="150"/>
    </row>
    <row r="72" spans="1:13" ht="24" customHeight="1" x14ac:dyDescent="0.25">
      <c r="A72" s="144">
        <v>49</v>
      </c>
      <c r="B72" s="145"/>
      <c r="C72" s="152"/>
      <c r="D72" s="147"/>
      <c r="E72" s="147"/>
      <c r="F72" s="147"/>
      <c r="G72" s="147"/>
      <c r="H72" s="148"/>
      <c r="I72" s="148"/>
      <c r="J72" s="149"/>
      <c r="K72" s="150"/>
      <c r="L72" s="151"/>
      <c r="M72" s="150"/>
    </row>
    <row r="73" spans="1:13" ht="24" customHeight="1" x14ac:dyDescent="0.25">
      <c r="A73" s="144">
        <v>50</v>
      </c>
      <c r="B73" s="145"/>
      <c r="C73" s="152"/>
      <c r="D73" s="147"/>
      <c r="E73" s="147"/>
      <c r="F73" s="147"/>
      <c r="G73" s="147"/>
      <c r="H73" s="148"/>
      <c r="I73" s="148"/>
      <c r="J73" s="149"/>
      <c r="K73" s="150"/>
      <c r="L73" s="151"/>
      <c r="M73" s="150"/>
    </row>
    <row r="74" spans="1:13" ht="24" customHeight="1" x14ac:dyDescent="0.25">
      <c r="A74" s="144">
        <v>51</v>
      </c>
      <c r="B74" s="145"/>
      <c r="C74" s="152"/>
      <c r="D74" s="147"/>
      <c r="E74" s="147"/>
      <c r="F74" s="147"/>
      <c r="G74" s="147"/>
      <c r="H74" s="148"/>
      <c r="I74" s="148"/>
      <c r="J74" s="149"/>
      <c r="K74" s="150"/>
      <c r="L74" s="151"/>
      <c r="M74" s="150"/>
    </row>
    <row r="75" spans="1:13" ht="24" customHeight="1" x14ac:dyDescent="0.25">
      <c r="A75" s="144">
        <v>52</v>
      </c>
      <c r="B75" s="145"/>
      <c r="C75" s="152"/>
      <c r="D75" s="147"/>
      <c r="E75" s="147"/>
      <c r="F75" s="147"/>
      <c r="G75" s="147"/>
      <c r="H75" s="148"/>
      <c r="I75" s="148"/>
      <c r="J75" s="149"/>
      <c r="K75" s="150"/>
      <c r="L75" s="151"/>
      <c r="M75" s="150"/>
    </row>
    <row r="76" spans="1:13" ht="24" customHeight="1" x14ac:dyDescent="0.25">
      <c r="A76" s="144">
        <v>53</v>
      </c>
      <c r="B76" s="145"/>
      <c r="C76" s="152"/>
      <c r="D76" s="147"/>
      <c r="E76" s="147"/>
      <c r="F76" s="147"/>
      <c r="G76" s="147"/>
      <c r="H76" s="148"/>
      <c r="I76" s="148"/>
      <c r="J76" s="149"/>
      <c r="K76" s="150"/>
      <c r="L76" s="151"/>
      <c r="M76" s="150"/>
    </row>
    <row r="77" spans="1:13" ht="24" customHeight="1" x14ac:dyDescent="0.25">
      <c r="A77" s="144">
        <v>54</v>
      </c>
      <c r="B77" s="145"/>
      <c r="C77" s="152"/>
      <c r="D77" s="147"/>
      <c r="E77" s="147"/>
      <c r="F77" s="147"/>
      <c r="G77" s="147"/>
      <c r="H77" s="148"/>
      <c r="I77" s="148"/>
      <c r="J77" s="149"/>
      <c r="K77" s="150"/>
      <c r="L77" s="151"/>
      <c r="M77" s="150"/>
    </row>
    <row r="78" spans="1:13" ht="24" customHeight="1" x14ac:dyDescent="0.25">
      <c r="A78" s="144">
        <v>55</v>
      </c>
      <c r="B78" s="145"/>
      <c r="C78" s="152"/>
      <c r="D78" s="147"/>
      <c r="E78" s="147"/>
      <c r="F78" s="147"/>
      <c r="G78" s="147"/>
      <c r="H78" s="148"/>
      <c r="I78" s="148"/>
      <c r="J78" s="149"/>
      <c r="K78" s="150"/>
      <c r="L78" s="151"/>
      <c r="M78" s="150"/>
    </row>
    <row r="79" spans="1:13" ht="24" customHeight="1" x14ac:dyDescent="0.25">
      <c r="A79" s="144">
        <v>56</v>
      </c>
      <c r="B79" s="145"/>
      <c r="C79" s="152"/>
      <c r="D79" s="147"/>
      <c r="E79" s="147"/>
      <c r="F79" s="147"/>
      <c r="G79" s="147"/>
      <c r="H79" s="148"/>
      <c r="I79" s="148"/>
      <c r="J79" s="149"/>
      <c r="K79" s="150"/>
      <c r="L79" s="151"/>
      <c r="M79" s="150"/>
    </row>
    <row r="80" spans="1:13" ht="24" customHeight="1" x14ac:dyDescent="0.25">
      <c r="A80" s="144">
        <v>57</v>
      </c>
      <c r="B80" s="145"/>
      <c r="C80" s="152"/>
      <c r="D80" s="147"/>
      <c r="E80" s="147"/>
      <c r="F80" s="147"/>
      <c r="G80" s="147"/>
      <c r="H80" s="148"/>
      <c r="I80" s="148"/>
      <c r="J80" s="149"/>
      <c r="K80" s="150"/>
      <c r="L80" s="151"/>
      <c r="M80" s="150"/>
    </row>
    <row r="81" spans="1:13" ht="24" customHeight="1" x14ac:dyDescent="0.25">
      <c r="A81" s="144">
        <v>58</v>
      </c>
      <c r="B81" s="145"/>
      <c r="C81" s="152"/>
      <c r="D81" s="147"/>
      <c r="E81" s="147"/>
      <c r="F81" s="147"/>
      <c r="G81" s="147"/>
      <c r="H81" s="148"/>
      <c r="I81" s="148"/>
      <c r="J81" s="149"/>
      <c r="K81" s="150"/>
      <c r="L81" s="151"/>
      <c r="M81" s="150"/>
    </row>
    <row r="82" spans="1:13" ht="24" customHeight="1" x14ac:dyDescent="0.25">
      <c r="A82" s="144">
        <v>59</v>
      </c>
      <c r="B82" s="145"/>
      <c r="C82" s="152"/>
      <c r="D82" s="147"/>
      <c r="E82" s="147"/>
      <c r="F82" s="147"/>
      <c r="G82" s="147"/>
      <c r="H82" s="148"/>
      <c r="I82" s="148"/>
      <c r="J82" s="149"/>
      <c r="K82" s="150"/>
      <c r="L82" s="151"/>
      <c r="M82" s="150"/>
    </row>
    <row r="83" spans="1:13" ht="24" customHeight="1" x14ac:dyDescent="0.25">
      <c r="A83" s="144">
        <v>60</v>
      </c>
      <c r="B83" s="145"/>
      <c r="C83" s="152"/>
      <c r="D83" s="147"/>
      <c r="E83" s="147"/>
      <c r="F83" s="147"/>
      <c r="G83" s="147"/>
      <c r="H83" s="148"/>
      <c r="I83" s="148"/>
      <c r="J83" s="149"/>
      <c r="K83" s="150"/>
      <c r="L83" s="151"/>
      <c r="M83" s="150"/>
    </row>
    <row r="84" spans="1:13" ht="24" customHeight="1" x14ac:dyDescent="0.25">
      <c r="A84" s="144">
        <v>61</v>
      </c>
      <c r="B84" s="145"/>
      <c r="C84" s="152"/>
      <c r="D84" s="147"/>
      <c r="E84" s="147"/>
      <c r="F84" s="147"/>
      <c r="G84" s="147"/>
      <c r="H84" s="148"/>
      <c r="I84" s="148"/>
      <c r="J84" s="149"/>
      <c r="K84" s="150"/>
      <c r="L84" s="151"/>
      <c r="M84" s="150"/>
    </row>
    <row r="85" spans="1:13" ht="24" customHeight="1" x14ac:dyDescent="0.25">
      <c r="A85" s="144">
        <v>62</v>
      </c>
      <c r="B85" s="145"/>
      <c r="C85" s="152"/>
      <c r="D85" s="147"/>
      <c r="E85" s="147"/>
      <c r="F85" s="147"/>
      <c r="G85" s="147"/>
      <c r="H85" s="148"/>
      <c r="I85" s="148"/>
      <c r="J85" s="149"/>
      <c r="K85" s="150"/>
      <c r="L85" s="151"/>
      <c r="M85" s="150"/>
    </row>
    <row r="86" spans="1:13" ht="24" customHeight="1" x14ac:dyDescent="0.25">
      <c r="A86" s="144">
        <v>63</v>
      </c>
      <c r="B86" s="145"/>
      <c r="C86" s="152"/>
      <c r="D86" s="147"/>
      <c r="E86" s="147"/>
      <c r="F86" s="147"/>
      <c r="G86" s="147"/>
      <c r="H86" s="148"/>
      <c r="I86" s="148"/>
      <c r="J86" s="149"/>
      <c r="K86" s="150"/>
      <c r="L86" s="151"/>
      <c r="M86" s="150"/>
    </row>
    <row r="87" spans="1:13" ht="24" customHeight="1" x14ac:dyDescent="0.25">
      <c r="A87" s="144">
        <v>64</v>
      </c>
      <c r="B87" s="145"/>
      <c r="C87" s="152"/>
      <c r="D87" s="147"/>
      <c r="E87" s="147"/>
      <c r="F87" s="147"/>
      <c r="G87" s="147"/>
      <c r="H87" s="148"/>
      <c r="I87" s="148"/>
      <c r="J87" s="149"/>
      <c r="K87" s="150"/>
      <c r="L87" s="151"/>
      <c r="M87" s="150"/>
    </row>
    <row r="88" spans="1:13" ht="24" customHeight="1" x14ac:dyDescent="0.25">
      <c r="A88" s="144">
        <v>65</v>
      </c>
      <c r="B88" s="145"/>
      <c r="C88" s="152"/>
      <c r="D88" s="147"/>
      <c r="E88" s="147"/>
      <c r="F88" s="147"/>
      <c r="G88" s="147"/>
      <c r="H88" s="148"/>
      <c r="I88" s="148"/>
      <c r="J88" s="149"/>
      <c r="K88" s="150"/>
      <c r="L88" s="151"/>
      <c r="M88" s="150"/>
    </row>
    <row r="89" spans="1:13" ht="24" customHeight="1" x14ac:dyDescent="0.25">
      <c r="A89" s="144">
        <v>66</v>
      </c>
      <c r="B89" s="145"/>
      <c r="C89" s="152"/>
      <c r="D89" s="147"/>
      <c r="E89" s="147"/>
      <c r="F89" s="147"/>
      <c r="G89" s="147"/>
      <c r="H89" s="148"/>
      <c r="I89" s="148"/>
      <c r="J89" s="149"/>
      <c r="K89" s="150"/>
      <c r="L89" s="151"/>
      <c r="M89" s="150"/>
    </row>
    <row r="90" spans="1:13" ht="24" customHeight="1" x14ac:dyDescent="0.25">
      <c r="A90" s="144">
        <v>67</v>
      </c>
      <c r="B90" s="145"/>
      <c r="C90" s="152"/>
      <c r="D90" s="147"/>
      <c r="E90" s="147"/>
      <c r="F90" s="147"/>
      <c r="G90" s="147"/>
      <c r="H90" s="148"/>
      <c r="I90" s="148"/>
      <c r="J90" s="149"/>
      <c r="K90" s="150"/>
      <c r="L90" s="151"/>
      <c r="M90" s="150"/>
    </row>
    <row r="91" spans="1:13" ht="24" customHeight="1" x14ac:dyDescent="0.25">
      <c r="A91" s="144">
        <v>68</v>
      </c>
      <c r="B91" s="145"/>
      <c r="C91" s="152"/>
      <c r="D91" s="147"/>
      <c r="E91" s="147"/>
      <c r="F91" s="147"/>
      <c r="G91" s="147"/>
      <c r="H91" s="148"/>
      <c r="I91" s="148"/>
      <c r="J91" s="149"/>
      <c r="K91" s="150"/>
      <c r="L91" s="151"/>
      <c r="M91" s="150"/>
    </row>
    <row r="92" spans="1:13" ht="24" customHeight="1" x14ac:dyDescent="0.25">
      <c r="A92" s="144">
        <v>69</v>
      </c>
      <c r="B92" s="145"/>
      <c r="C92" s="152"/>
      <c r="D92" s="147"/>
      <c r="E92" s="147"/>
      <c r="F92" s="147"/>
      <c r="G92" s="147"/>
      <c r="H92" s="148"/>
      <c r="I92" s="148"/>
      <c r="J92" s="149"/>
      <c r="K92" s="150"/>
      <c r="L92" s="151"/>
      <c r="M92" s="150"/>
    </row>
    <row r="93" spans="1:13" ht="24" customHeight="1" x14ac:dyDescent="0.25">
      <c r="A93" s="144">
        <v>70</v>
      </c>
      <c r="B93" s="145"/>
      <c r="C93" s="152"/>
      <c r="D93" s="147"/>
      <c r="E93" s="147"/>
      <c r="F93" s="147"/>
      <c r="G93" s="147"/>
      <c r="H93" s="148"/>
      <c r="I93" s="148"/>
      <c r="J93" s="149"/>
      <c r="K93" s="150"/>
      <c r="L93" s="151"/>
      <c r="M93" s="150"/>
    </row>
    <row r="94" spans="1:13" ht="24" customHeight="1" x14ac:dyDescent="0.25">
      <c r="A94" s="144">
        <v>71</v>
      </c>
      <c r="B94" s="145"/>
      <c r="C94" s="152"/>
      <c r="D94" s="147"/>
      <c r="E94" s="147"/>
      <c r="F94" s="147"/>
      <c r="G94" s="147"/>
      <c r="H94" s="148"/>
      <c r="I94" s="148"/>
      <c r="J94" s="149"/>
      <c r="K94" s="150"/>
      <c r="L94" s="151"/>
      <c r="M94" s="150"/>
    </row>
    <row r="95" spans="1:13" ht="24" customHeight="1" x14ac:dyDescent="0.25">
      <c r="A95" s="144">
        <v>72</v>
      </c>
      <c r="B95" s="145"/>
      <c r="C95" s="152"/>
      <c r="D95" s="147"/>
      <c r="E95" s="147"/>
      <c r="F95" s="147"/>
      <c r="G95" s="147"/>
      <c r="H95" s="148"/>
      <c r="I95" s="148"/>
      <c r="J95" s="149"/>
      <c r="K95" s="150"/>
      <c r="L95" s="151"/>
      <c r="M95" s="150"/>
    </row>
    <row r="96" spans="1:13" ht="24" customHeight="1" x14ac:dyDescent="0.25">
      <c r="A96" s="144">
        <v>73</v>
      </c>
      <c r="B96" s="145"/>
      <c r="C96" s="152"/>
      <c r="D96" s="147"/>
      <c r="E96" s="147"/>
      <c r="F96" s="147"/>
      <c r="G96" s="147"/>
      <c r="H96" s="148"/>
      <c r="I96" s="148"/>
      <c r="J96" s="149"/>
      <c r="K96" s="150"/>
      <c r="L96" s="151"/>
      <c r="M96" s="150"/>
    </row>
    <row r="97" spans="1:13" ht="24" customHeight="1" x14ac:dyDescent="0.25">
      <c r="A97" s="144">
        <v>74</v>
      </c>
      <c r="B97" s="145"/>
      <c r="C97" s="152"/>
      <c r="D97" s="147"/>
      <c r="E97" s="147"/>
      <c r="F97" s="147"/>
      <c r="G97" s="147"/>
      <c r="H97" s="148"/>
      <c r="I97" s="148"/>
      <c r="J97" s="149"/>
      <c r="K97" s="150"/>
      <c r="L97" s="151"/>
      <c r="M97" s="150"/>
    </row>
    <row r="98" spans="1:13" ht="24" customHeight="1" x14ac:dyDescent="0.25">
      <c r="A98" s="144">
        <v>75</v>
      </c>
      <c r="B98" s="145"/>
      <c r="C98" s="152"/>
      <c r="D98" s="147"/>
      <c r="E98" s="147"/>
      <c r="F98" s="147"/>
      <c r="G98" s="147"/>
      <c r="H98" s="148"/>
      <c r="I98" s="148"/>
      <c r="J98" s="149"/>
      <c r="K98" s="150"/>
      <c r="L98" s="151"/>
      <c r="M98" s="150"/>
    </row>
    <row r="99" spans="1:13" ht="24" customHeight="1" x14ac:dyDescent="0.25">
      <c r="A99" s="144">
        <v>76</v>
      </c>
      <c r="B99" s="145"/>
      <c r="C99" s="152"/>
      <c r="D99" s="147"/>
      <c r="E99" s="147"/>
      <c r="F99" s="147"/>
      <c r="G99" s="147"/>
      <c r="H99" s="148"/>
      <c r="I99" s="148"/>
      <c r="J99" s="149"/>
      <c r="K99" s="150"/>
      <c r="L99" s="151"/>
      <c r="M99" s="150"/>
    </row>
    <row r="100" spans="1:13" ht="24" customHeight="1" x14ac:dyDescent="0.25">
      <c r="A100" s="144">
        <v>77</v>
      </c>
      <c r="B100" s="145"/>
      <c r="C100" s="152"/>
      <c r="D100" s="147"/>
      <c r="E100" s="147"/>
      <c r="F100" s="147"/>
      <c r="G100" s="147"/>
      <c r="H100" s="148"/>
      <c r="I100" s="148"/>
      <c r="J100" s="149"/>
      <c r="K100" s="150"/>
      <c r="L100" s="151"/>
      <c r="M100" s="150"/>
    </row>
    <row r="101" spans="1:13" ht="24" customHeight="1" x14ac:dyDescent="0.25">
      <c r="A101" s="144">
        <v>78</v>
      </c>
      <c r="B101" s="145"/>
      <c r="C101" s="152"/>
      <c r="D101" s="147"/>
      <c r="E101" s="147"/>
      <c r="F101" s="147"/>
      <c r="G101" s="147"/>
      <c r="H101" s="148"/>
      <c r="I101" s="148"/>
      <c r="J101" s="149"/>
      <c r="K101" s="150"/>
      <c r="L101" s="151"/>
      <c r="M101" s="150"/>
    </row>
    <row r="102" spans="1:13" ht="24" customHeight="1" x14ac:dyDescent="0.25">
      <c r="A102" s="144">
        <v>79</v>
      </c>
      <c r="B102" s="145"/>
      <c r="C102" s="152"/>
      <c r="D102" s="147"/>
      <c r="E102" s="147"/>
      <c r="F102" s="147"/>
      <c r="G102" s="147"/>
      <c r="H102" s="148"/>
      <c r="I102" s="148"/>
      <c r="J102" s="149"/>
      <c r="K102" s="150"/>
      <c r="L102" s="151"/>
      <c r="M102" s="150"/>
    </row>
    <row r="103" spans="1:13" ht="24" customHeight="1" x14ac:dyDescent="0.25">
      <c r="A103" s="144">
        <v>80</v>
      </c>
      <c r="B103" s="145"/>
      <c r="C103" s="152"/>
      <c r="D103" s="147"/>
      <c r="E103" s="147"/>
      <c r="F103" s="147"/>
      <c r="G103" s="147"/>
      <c r="H103" s="148"/>
      <c r="I103" s="148"/>
      <c r="J103" s="149"/>
      <c r="K103" s="150"/>
      <c r="L103" s="151"/>
      <c r="M103" s="150"/>
    </row>
    <row r="104" spans="1:13" ht="24" customHeight="1" x14ac:dyDescent="0.25">
      <c r="A104" s="144">
        <v>81</v>
      </c>
      <c r="B104" s="145"/>
      <c r="C104" s="152"/>
      <c r="D104" s="147"/>
      <c r="E104" s="147"/>
      <c r="F104" s="147"/>
      <c r="G104" s="147"/>
      <c r="H104" s="148"/>
      <c r="I104" s="148"/>
      <c r="J104" s="149"/>
      <c r="K104" s="150"/>
      <c r="L104" s="151"/>
      <c r="M104" s="150"/>
    </row>
    <row r="105" spans="1:13" ht="24" customHeight="1" x14ac:dyDescent="0.25">
      <c r="A105" s="144">
        <v>82</v>
      </c>
      <c r="B105" s="145"/>
      <c r="C105" s="152"/>
      <c r="D105" s="147"/>
      <c r="E105" s="147"/>
      <c r="F105" s="147"/>
      <c r="G105" s="147"/>
      <c r="H105" s="148"/>
      <c r="I105" s="148"/>
      <c r="J105" s="149"/>
      <c r="K105" s="150"/>
      <c r="L105" s="151"/>
      <c r="M105" s="150"/>
    </row>
    <row r="106" spans="1:13" ht="24" customHeight="1" x14ac:dyDescent="0.25">
      <c r="A106" s="144">
        <v>83</v>
      </c>
      <c r="B106" s="145"/>
      <c r="C106" s="152"/>
      <c r="D106" s="147"/>
      <c r="E106" s="147"/>
      <c r="F106" s="147"/>
      <c r="G106" s="147"/>
      <c r="H106" s="148"/>
      <c r="I106" s="148"/>
      <c r="J106" s="149"/>
      <c r="K106" s="150"/>
      <c r="L106" s="151"/>
      <c r="M106" s="150"/>
    </row>
    <row r="107" spans="1:13" ht="24" customHeight="1" x14ac:dyDescent="0.25">
      <c r="A107" s="144">
        <v>84</v>
      </c>
      <c r="B107" s="145"/>
      <c r="C107" s="152"/>
      <c r="D107" s="147"/>
      <c r="E107" s="147"/>
      <c r="F107" s="147"/>
      <c r="G107" s="147"/>
      <c r="H107" s="148"/>
      <c r="I107" s="148"/>
      <c r="J107" s="149"/>
      <c r="K107" s="150"/>
      <c r="L107" s="151"/>
      <c r="M107" s="150"/>
    </row>
    <row r="108" spans="1:13" ht="24" customHeight="1" x14ac:dyDescent="0.25">
      <c r="A108" s="144">
        <v>85</v>
      </c>
      <c r="B108" s="145"/>
      <c r="C108" s="152"/>
      <c r="D108" s="147"/>
      <c r="E108" s="147"/>
      <c r="F108" s="147"/>
      <c r="G108" s="147"/>
      <c r="H108" s="148"/>
      <c r="I108" s="148"/>
      <c r="J108" s="149"/>
      <c r="K108" s="150"/>
      <c r="L108" s="151"/>
      <c r="M108" s="150"/>
    </row>
    <row r="109" spans="1:13" ht="24" customHeight="1" x14ac:dyDescent="0.25">
      <c r="A109" s="144">
        <v>86</v>
      </c>
      <c r="B109" s="145"/>
      <c r="C109" s="152"/>
      <c r="D109" s="147"/>
      <c r="E109" s="147"/>
      <c r="F109" s="147"/>
      <c r="G109" s="147"/>
      <c r="H109" s="148"/>
      <c r="I109" s="148"/>
      <c r="J109" s="149"/>
      <c r="K109" s="150"/>
      <c r="L109" s="151"/>
      <c r="M109" s="150"/>
    </row>
    <row r="110" spans="1:13" ht="24" customHeight="1" x14ac:dyDescent="0.25">
      <c r="A110" s="144">
        <v>87</v>
      </c>
      <c r="B110" s="145"/>
      <c r="C110" s="152"/>
      <c r="D110" s="147"/>
      <c r="E110" s="147"/>
      <c r="F110" s="147"/>
      <c r="G110" s="147"/>
      <c r="H110" s="148"/>
      <c r="I110" s="148"/>
      <c r="J110" s="149"/>
      <c r="K110" s="150"/>
      <c r="L110" s="151"/>
      <c r="M110" s="150"/>
    </row>
    <row r="111" spans="1:13" ht="24" customHeight="1" x14ac:dyDescent="0.25">
      <c r="A111" s="144">
        <v>88</v>
      </c>
      <c r="B111" s="145"/>
      <c r="C111" s="152"/>
      <c r="D111" s="147"/>
      <c r="E111" s="147"/>
      <c r="F111" s="147"/>
      <c r="G111" s="147"/>
      <c r="H111" s="148"/>
      <c r="I111" s="148"/>
      <c r="J111" s="149"/>
      <c r="K111" s="150"/>
      <c r="L111" s="151"/>
      <c r="M111" s="150"/>
    </row>
    <row r="112" spans="1:13" ht="24" customHeight="1" x14ac:dyDescent="0.25">
      <c r="A112" s="144">
        <v>89</v>
      </c>
      <c r="B112" s="145"/>
      <c r="C112" s="152"/>
      <c r="D112" s="147"/>
      <c r="E112" s="147"/>
      <c r="F112" s="147"/>
      <c r="G112" s="147"/>
      <c r="H112" s="148"/>
      <c r="I112" s="148"/>
      <c r="J112" s="149"/>
      <c r="K112" s="150"/>
      <c r="L112" s="151"/>
      <c r="M112" s="150"/>
    </row>
    <row r="113" spans="1:13" ht="24" customHeight="1" x14ac:dyDescent="0.25">
      <c r="A113" s="144">
        <v>90</v>
      </c>
      <c r="B113" s="145"/>
      <c r="C113" s="152"/>
      <c r="D113" s="147"/>
      <c r="E113" s="147"/>
      <c r="F113" s="147"/>
      <c r="G113" s="147"/>
      <c r="H113" s="148"/>
      <c r="I113" s="148"/>
      <c r="J113" s="149"/>
      <c r="K113" s="150"/>
      <c r="L113" s="151"/>
      <c r="M113" s="150"/>
    </row>
    <row r="114" spans="1:13" ht="24" customHeight="1" x14ac:dyDescent="0.25">
      <c r="A114" s="144">
        <v>91</v>
      </c>
      <c r="B114" s="145"/>
      <c r="C114" s="152"/>
      <c r="D114" s="147"/>
      <c r="E114" s="147"/>
      <c r="F114" s="147"/>
      <c r="G114" s="147"/>
      <c r="H114" s="148"/>
      <c r="I114" s="148"/>
      <c r="J114" s="149"/>
      <c r="K114" s="150"/>
      <c r="L114" s="151"/>
      <c r="M114" s="150"/>
    </row>
    <row r="115" spans="1:13" ht="24" customHeight="1" x14ac:dyDescent="0.25">
      <c r="A115" s="144">
        <v>92</v>
      </c>
      <c r="B115" s="145"/>
      <c r="C115" s="152"/>
      <c r="D115" s="147"/>
      <c r="E115" s="147"/>
      <c r="F115" s="147"/>
      <c r="G115" s="147"/>
      <c r="H115" s="148"/>
      <c r="I115" s="148"/>
      <c r="J115" s="149"/>
      <c r="K115" s="150"/>
      <c r="L115" s="151"/>
      <c r="M115" s="150"/>
    </row>
    <row r="116" spans="1:13" ht="24" customHeight="1" x14ac:dyDescent="0.25">
      <c r="A116" s="144">
        <v>93</v>
      </c>
      <c r="B116" s="145"/>
      <c r="C116" s="152"/>
      <c r="D116" s="147"/>
      <c r="E116" s="147"/>
      <c r="F116" s="147"/>
      <c r="G116" s="147"/>
      <c r="H116" s="148"/>
      <c r="I116" s="148"/>
      <c r="J116" s="149"/>
      <c r="K116" s="150"/>
      <c r="L116" s="151"/>
      <c r="M116" s="150"/>
    </row>
    <row r="117" spans="1:13" ht="24" customHeight="1" x14ac:dyDescent="0.25">
      <c r="A117" s="144">
        <v>94</v>
      </c>
      <c r="B117" s="145"/>
      <c r="C117" s="152"/>
      <c r="D117" s="147"/>
      <c r="E117" s="147"/>
      <c r="F117" s="147"/>
      <c r="G117" s="147"/>
      <c r="H117" s="148"/>
      <c r="I117" s="148"/>
      <c r="J117" s="149"/>
      <c r="K117" s="150"/>
      <c r="L117" s="151"/>
      <c r="M117" s="150"/>
    </row>
    <row r="118" spans="1:13" ht="24" customHeight="1" x14ac:dyDescent="0.25">
      <c r="A118" s="144">
        <v>95</v>
      </c>
      <c r="B118" s="145"/>
      <c r="C118" s="152"/>
      <c r="D118" s="147"/>
      <c r="E118" s="147"/>
      <c r="F118" s="147"/>
      <c r="G118" s="147"/>
      <c r="H118" s="148"/>
      <c r="I118" s="148"/>
      <c r="J118" s="149"/>
      <c r="K118" s="150"/>
      <c r="L118" s="151"/>
      <c r="M118" s="150"/>
    </row>
    <row r="119" spans="1:13" ht="24" customHeight="1" x14ac:dyDescent="0.25">
      <c r="A119" s="144">
        <v>96</v>
      </c>
      <c r="B119" s="145"/>
      <c r="C119" s="152"/>
      <c r="D119" s="147"/>
      <c r="E119" s="147"/>
      <c r="F119" s="147"/>
      <c r="G119" s="147"/>
      <c r="H119" s="148"/>
      <c r="I119" s="148"/>
      <c r="J119" s="149"/>
      <c r="K119" s="150"/>
      <c r="L119" s="151"/>
      <c r="M119" s="150"/>
    </row>
    <row r="120" spans="1:13" ht="24" customHeight="1" x14ac:dyDescent="0.25">
      <c r="A120" s="144">
        <v>97</v>
      </c>
      <c r="B120" s="145"/>
      <c r="C120" s="152"/>
      <c r="D120" s="147"/>
      <c r="E120" s="147"/>
      <c r="F120" s="147"/>
      <c r="G120" s="147"/>
      <c r="H120" s="148"/>
      <c r="I120" s="148"/>
      <c r="J120" s="149"/>
      <c r="K120" s="150"/>
      <c r="L120" s="151"/>
      <c r="M120" s="150"/>
    </row>
    <row r="121" spans="1:13" ht="24" customHeight="1" x14ac:dyDescent="0.25">
      <c r="A121" s="144">
        <v>98</v>
      </c>
      <c r="B121" s="145"/>
      <c r="C121" s="152"/>
      <c r="D121" s="147"/>
      <c r="E121" s="147"/>
      <c r="F121" s="147"/>
      <c r="G121" s="147"/>
      <c r="H121" s="148"/>
      <c r="I121" s="148"/>
      <c r="J121" s="149"/>
      <c r="K121" s="150"/>
      <c r="L121" s="151"/>
      <c r="M121" s="150"/>
    </row>
    <row r="122" spans="1:13" ht="24" customHeight="1" x14ac:dyDescent="0.25">
      <c r="A122" s="144">
        <v>99</v>
      </c>
      <c r="B122" s="145"/>
      <c r="C122" s="152"/>
      <c r="D122" s="147"/>
      <c r="E122" s="147"/>
      <c r="F122" s="147"/>
      <c r="G122" s="147"/>
      <c r="H122" s="148"/>
      <c r="I122" s="148"/>
      <c r="J122" s="149"/>
      <c r="K122" s="150"/>
      <c r="L122" s="151"/>
      <c r="M122" s="150"/>
    </row>
    <row r="123" spans="1:13" ht="24" customHeight="1" x14ac:dyDescent="0.25">
      <c r="A123" s="144">
        <v>100</v>
      </c>
      <c r="B123" s="145"/>
      <c r="C123" s="152"/>
      <c r="D123" s="147"/>
      <c r="E123" s="147"/>
      <c r="F123" s="147"/>
      <c r="G123" s="147"/>
      <c r="H123" s="148"/>
      <c r="I123" s="148"/>
      <c r="J123" s="149"/>
      <c r="K123" s="150"/>
      <c r="L123" s="151"/>
      <c r="M123" s="150"/>
    </row>
    <row r="124" spans="1:13" ht="15.75" x14ac:dyDescent="0.25">
      <c r="A124" s="136"/>
      <c r="B124" s="136"/>
      <c r="C124" s="136"/>
      <c r="D124" s="136"/>
      <c r="E124" s="136"/>
      <c r="F124" s="136"/>
      <c r="G124" s="136"/>
      <c r="H124" s="136"/>
      <c r="I124" s="136"/>
      <c r="J124" s="136"/>
      <c r="K124" s="136"/>
      <c r="L124" s="136"/>
      <c r="M124" s="136"/>
    </row>
    <row r="125" spans="1:13" ht="15.75" x14ac:dyDescent="0.25">
      <c r="A125" s="136"/>
      <c r="B125" s="136"/>
      <c r="C125" s="136"/>
      <c r="D125" s="136"/>
      <c r="E125" s="136"/>
      <c r="F125" s="136"/>
      <c r="G125" s="136"/>
      <c r="H125" s="136"/>
      <c r="I125" s="136"/>
      <c r="J125" s="136"/>
      <c r="K125" s="136"/>
      <c r="L125" s="136"/>
      <c r="M125" s="136"/>
    </row>
    <row r="126" spans="1:13" ht="15.75" x14ac:dyDescent="0.25">
      <c r="A126" s="136"/>
      <c r="B126" s="136"/>
      <c r="C126" s="136"/>
      <c r="D126" s="136"/>
      <c r="E126" s="136"/>
      <c r="F126" s="136"/>
      <c r="G126" s="136"/>
      <c r="H126" s="136"/>
      <c r="I126" s="136"/>
      <c r="J126" s="136"/>
      <c r="K126" s="136"/>
      <c r="L126" s="136"/>
      <c r="M126" s="136"/>
    </row>
    <row r="127" spans="1:13" ht="27.95" customHeight="1" x14ac:dyDescent="0.25">
      <c r="A127" s="153" t="s">
        <v>2907</v>
      </c>
      <c r="B127" s="154" t="s">
        <v>3007</v>
      </c>
      <c r="C127" s="155"/>
      <c r="D127" s="155"/>
      <c r="E127" s="155"/>
      <c r="F127" s="155"/>
      <c r="G127" s="155"/>
      <c r="H127" s="155"/>
      <c r="I127" s="155"/>
      <c r="J127" s="155"/>
      <c r="K127" s="155"/>
      <c r="L127" s="155"/>
      <c r="M127" s="156"/>
    </row>
    <row r="128" spans="1:13" ht="39.950000000000003" customHeight="1" x14ac:dyDescent="0.25">
      <c r="A128" s="157" t="s">
        <v>2908</v>
      </c>
      <c r="B128" s="157" t="s">
        <v>3008</v>
      </c>
      <c r="C128" s="157"/>
      <c r="D128" s="157" t="s">
        <v>3009</v>
      </c>
      <c r="E128" s="157"/>
      <c r="F128" s="136"/>
      <c r="G128" s="136"/>
      <c r="H128" s="136"/>
      <c r="I128" s="136"/>
      <c r="J128" s="136"/>
      <c r="K128" s="136"/>
      <c r="L128" s="136"/>
      <c r="M128" s="136"/>
    </row>
    <row r="129" spans="1:13" ht="39.950000000000003" customHeight="1" x14ac:dyDescent="0.25">
      <c r="A129" s="138" t="s">
        <v>2909</v>
      </c>
      <c r="B129" s="869" t="s">
        <v>3010</v>
      </c>
      <c r="C129" s="870"/>
      <c r="D129" s="871" t="s">
        <v>3011</v>
      </c>
      <c r="E129" s="872"/>
      <c r="F129" s="136"/>
      <c r="G129" s="136"/>
      <c r="H129" s="136"/>
      <c r="I129" s="136"/>
      <c r="J129" s="136"/>
      <c r="K129" s="136"/>
      <c r="L129" s="136"/>
      <c r="M129" s="136"/>
    </row>
    <row r="130" spans="1:13" ht="39.950000000000003" customHeight="1" x14ac:dyDescent="0.25">
      <c r="A130" s="138" t="s">
        <v>3012</v>
      </c>
      <c r="B130" s="869" t="s">
        <v>3013</v>
      </c>
      <c r="C130" s="870"/>
      <c r="D130" s="871" t="s">
        <v>3014</v>
      </c>
      <c r="E130" s="872"/>
      <c r="F130" s="136"/>
      <c r="G130" s="136"/>
      <c r="H130" s="136"/>
      <c r="I130" s="136"/>
      <c r="J130" s="136"/>
      <c r="K130" s="136"/>
      <c r="L130" s="136"/>
      <c r="M130" s="136"/>
    </row>
    <row r="131" spans="1:13" ht="39.950000000000003" customHeight="1" x14ac:dyDescent="0.25">
      <c r="A131" s="138" t="s">
        <v>2910</v>
      </c>
      <c r="B131" s="869" t="s">
        <v>3015</v>
      </c>
      <c r="C131" s="870"/>
      <c r="D131" s="871" t="s">
        <v>3016</v>
      </c>
      <c r="E131" s="872"/>
      <c r="F131" s="136"/>
      <c r="G131" s="136"/>
      <c r="H131" s="136"/>
      <c r="I131" s="136"/>
      <c r="J131" s="136"/>
      <c r="K131" s="136"/>
      <c r="L131" s="136"/>
      <c r="M131" s="136"/>
    </row>
    <row r="132" spans="1:13" ht="39.950000000000003" customHeight="1" x14ac:dyDescent="0.25">
      <c r="A132" s="138" t="s">
        <v>2508</v>
      </c>
      <c r="B132" s="869" t="s">
        <v>3017</v>
      </c>
      <c r="C132" s="870"/>
      <c r="D132" s="871" t="s">
        <v>3018</v>
      </c>
      <c r="E132" s="872"/>
      <c r="F132" s="136"/>
      <c r="G132" s="136"/>
      <c r="H132" s="136"/>
      <c r="I132" s="136"/>
      <c r="J132" s="136"/>
      <c r="K132" s="136"/>
      <c r="L132" s="136"/>
      <c r="M132" s="136"/>
    </row>
    <row r="133" spans="1:13" ht="39.950000000000003" customHeight="1" x14ac:dyDescent="0.25">
      <c r="A133" s="138" t="s">
        <v>2586</v>
      </c>
      <c r="B133" s="869" t="s">
        <v>3019</v>
      </c>
      <c r="C133" s="870"/>
      <c r="D133" s="871" t="s">
        <v>3020</v>
      </c>
      <c r="E133" s="872"/>
      <c r="F133" s="136"/>
      <c r="G133" s="136"/>
      <c r="H133" s="136"/>
      <c r="I133" s="136"/>
      <c r="J133" s="136"/>
      <c r="K133" s="136"/>
      <c r="L133" s="136"/>
      <c r="M133" s="136"/>
    </row>
    <row r="134" spans="1:13" ht="15.75" x14ac:dyDescent="0.25">
      <c r="A134" s="158"/>
      <c r="B134" s="158"/>
      <c r="C134" s="158"/>
      <c r="D134" s="158"/>
      <c r="E134" s="158"/>
      <c r="F134" s="158"/>
      <c r="G134" s="158"/>
      <c r="H134" s="158"/>
      <c r="I134" s="158"/>
      <c r="J134" s="158"/>
      <c r="K134" s="158"/>
      <c r="L134" s="158"/>
      <c r="M134" s="158"/>
    </row>
    <row r="135" spans="1:13" ht="15.75" x14ac:dyDescent="0.25">
      <c r="A135" s="158"/>
      <c r="B135" s="158"/>
      <c r="C135" s="158"/>
      <c r="D135" s="158"/>
      <c r="E135" s="158"/>
      <c r="F135" s="158"/>
      <c r="G135" s="158"/>
      <c r="H135" s="158"/>
      <c r="I135" s="158"/>
      <c r="J135" s="158"/>
      <c r="K135" s="158"/>
      <c r="L135" s="158"/>
      <c r="M135" s="158"/>
    </row>
    <row r="136" spans="1:13" ht="15.75" x14ac:dyDescent="0.25">
      <c r="A136" s="158"/>
      <c r="B136" s="158"/>
      <c r="C136" s="158"/>
      <c r="D136" s="158"/>
      <c r="E136" s="158"/>
      <c r="F136" s="158"/>
      <c r="G136" s="158"/>
      <c r="H136" s="158"/>
      <c r="I136" s="158"/>
      <c r="J136" s="158"/>
      <c r="K136" s="158"/>
      <c r="L136" s="158"/>
      <c r="M136" s="158"/>
    </row>
    <row r="137" spans="1:13" ht="15.75" x14ac:dyDescent="0.25">
      <c r="A137" s="158"/>
      <c r="B137" s="158"/>
      <c r="C137" s="158"/>
      <c r="D137" s="158"/>
      <c r="E137" s="158"/>
      <c r="F137" s="158"/>
      <c r="G137" s="158"/>
      <c r="H137" s="158"/>
      <c r="I137" s="158"/>
      <c r="J137" s="158"/>
      <c r="K137" s="158"/>
      <c r="L137" s="158"/>
      <c r="M137" s="158"/>
    </row>
    <row r="138" spans="1:13" ht="15.75" x14ac:dyDescent="0.25">
      <c r="A138" s="158"/>
      <c r="B138" s="158"/>
      <c r="C138" s="158"/>
      <c r="D138" s="158"/>
      <c r="E138" s="158"/>
      <c r="F138" s="158"/>
      <c r="G138" s="158"/>
      <c r="H138" s="158"/>
      <c r="I138" s="158"/>
      <c r="J138" s="158"/>
      <c r="K138" s="158"/>
      <c r="L138" s="158"/>
      <c r="M138" s="158"/>
    </row>
    <row r="139" spans="1:13" ht="15.75" x14ac:dyDescent="0.25">
      <c r="A139" s="158"/>
      <c r="B139" s="158"/>
      <c r="C139" s="158"/>
      <c r="D139" s="158"/>
      <c r="E139" s="158"/>
      <c r="F139" s="158"/>
      <c r="G139" s="158"/>
      <c r="H139" s="158"/>
      <c r="I139" s="158"/>
      <c r="J139" s="158"/>
      <c r="K139" s="158"/>
      <c r="L139" s="158"/>
      <c r="M139" s="158"/>
    </row>
    <row r="140" spans="1:13" ht="15.75" x14ac:dyDescent="0.25">
      <c r="A140" s="158"/>
      <c r="B140" s="158"/>
      <c r="C140" s="158"/>
      <c r="D140" s="158"/>
      <c r="E140" s="158"/>
      <c r="F140" s="158"/>
      <c r="G140" s="158"/>
      <c r="H140" s="158"/>
      <c r="I140" s="158"/>
      <c r="J140" s="158"/>
      <c r="K140" s="158"/>
      <c r="L140" s="158"/>
      <c r="M140" s="158"/>
    </row>
    <row r="141" spans="1:13" ht="15.75" x14ac:dyDescent="0.25">
      <c r="A141" s="158"/>
      <c r="B141" s="158"/>
      <c r="C141" s="158"/>
      <c r="D141" s="158"/>
      <c r="E141" s="158"/>
      <c r="F141" s="158"/>
      <c r="G141" s="158"/>
      <c r="H141" s="158"/>
      <c r="I141" s="158"/>
      <c r="J141" s="158"/>
      <c r="K141" s="158"/>
      <c r="L141" s="158"/>
      <c r="M141" s="158"/>
    </row>
    <row r="142" spans="1:13" ht="15.75" x14ac:dyDescent="0.25">
      <c r="A142" s="158"/>
      <c r="B142" s="158"/>
      <c r="C142" s="158"/>
      <c r="D142" s="158"/>
      <c r="E142" s="158"/>
      <c r="F142" s="158"/>
      <c r="G142" s="158"/>
      <c r="H142" s="158"/>
      <c r="I142" s="158"/>
      <c r="J142" s="158"/>
      <c r="K142" s="158"/>
      <c r="L142" s="158"/>
      <c r="M142" s="158"/>
    </row>
    <row r="143" spans="1:13" ht="15.75" x14ac:dyDescent="0.25">
      <c r="A143" s="158"/>
      <c r="B143" s="158"/>
      <c r="C143" s="158"/>
      <c r="D143" s="158"/>
      <c r="E143" s="158"/>
      <c r="F143" s="158"/>
      <c r="G143" s="158"/>
      <c r="H143" s="158"/>
      <c r="I143" s="158"/>
      <c r="J143" s="158"/>
      <c r="K143" s="158"/>
      <c r="L143" s="158"/>
      <c r="M143" s="158"/>
    </row>
    <row r="144" spans="1:13" ht="15.75" x14ac:dyDescent="0.25">
      <c r="A144" s="158"/>
      <c r="B144" s="158"/>
      <c r="C144" s="158"/>
      <c r="D144" s="158"/>
      <c r="E144" s="158"/>
      <c r="F144" s="158"/>
      <c r="G144" s="158"/>
      <c r="H144" s="158"/>
      <c r="I144" s="158"/>
      <c r="J144" s="158"/>
      <c r="K144" s="158"/>
      <c r="L144" s="158"/>
      <c r="M144" s="158"/>
    </row>
    <row r="145" spans="1:13" ht="15.75" x14ac:dyDescent="0.25">
      <c r="A145" s="158"/>
      <c r="B145" s="158"/>
      <c r="C145" s="158"/>
      <c r="D145" s="158"/>
      <c r="E145" s="158"/>
      <c r="F145" s="158"/>
      <c r="G145" s="158"/>
      <c r="H145" s="158"/>
      <c r="I145" s="158"/>
      <c r="J145" s="158"/>
      <c r="K145" s="158"/>
      <c r="L145" s="158"/>
      <c r="M145" s="158"/>
    </row>
    <row r="146" spans="1:13" ht="15.75" x14ac:dyDescent="0.25">
      <c r="A146" s="158"/>
      <c r="B146" s="158"/>
      <c r="C146" s="158"/>
      <c r="D146" s="158"/>
      <c r="E146" s="158"/>
      <c r="F146" s="158"/>
      <c r="G146" s="158"/>
      <c r="H146" s="158"/>
      <c r="I146" s="158"/>
      <c r="J146" s="158"/>
      <c r="K146" s="158"/>
      <c r="L146" s="158"/>
      <c r="M146" s="158"/>
    </row>
    <row r="147" spans="1:13" ht="15.75" x14ac:dyDescent="0.25">
      <c r="A147" s="158"/>
      <c r="B147" s="158"/>
      <c r="C147" s="158"/>
      <c r="D147" s="158"/>
      <c r="E147" s="158"/>
      <c r="F147" s="158"/>
      <c r="G147" s="158"/>
      <c r="H147" s="158"/>
      <c r="I147" s="158"/>
      <c r="J147" s="158"/>
      <c r="K147" s="158"/>
      <c r="L147" s="158"/>
      <c r="M147" s="158"/>
    </row>
    <row r="148" spans="1:13" ht="15.75" x14ac:dyDescent="0.25">
      <c r="A148" s="158"/>
      <c r="B148" s="158"/>
      <c r="C148" s="158"/>
      <c r="D148" s="158"/>
      <c r="E148" s="158"/>
      <c r="F148" s="158"/>
      <c r="G148" s="158"/>
      <c r="H148" s="158"/>
      <c r="I148" s="158"/>
      <c r="J148" s="158"/>
      <c r="K148" s="158"/>
      <c r="L148" s="158"/>
      <c r="M148" s="158"/>
    </row>
    <row r="149" spans="1:13" ht="15.75" x14ac:dyDescent="0.25">
      <c r="A149" s="158"/>
      <c r="B149" s="158"/>
      <c r="C149" s="158"/>
      <c r="D149" s="158"/>
      <c r="E149" s="158"/>
      <c r="F149" s="158"/>
      <c r="G149" s="158"/>
      <c r="H149" s="158"/>
      <c r="I149" s="158"/>
      <c r="J149" s="158"/>
      <c r="K149" s="158"/>
      <c r="L149" s="158"/>
      <c r="M149" s="158"/>
    </row>
    <row r="150" spans="1:13" ht="15.75" x14ac:dyDescent="0.25">
      <c r="A150" s="158"/>
      <c r="B150" s="158"/>
      <c r="C150" s="158"/>
      <c r="D150" s="158"/>
      <c r="E150" s="158"/>
      <c r="F150" s="158"/>
      <c r="G150" s="158"/>
      <c r="H150" s="158"/>
      <c r="I150" s="158"/>
      <c r="J150" s="158"/>
      <c r="K150" s="158"/>
      <c r="L150" s="158"/>
      <c r="M150" s="158"/>
    </row>
    <row r="151" spans="1:13" ht="15.75" x14ac:dyDescent="0.25">
      <c r="A151" s="158"/>
      <c r="B151" s="158"/>
      <c r="C151" s="158"/>
      <c r="D151" s="158"/>
      <c r="E151" s="158"/>
      <c r="F151" s="158"/>
      <c r="G151" s="158"/>
      <c r="H151" s="158"/>
      <c r="I151" s="158"/>
      <c r="J151" s="158"/>
      <c r="K151" s="158"/>
      <c r="L151" s="158"/>
      <c r="M151" s="158"/>
    </row>
    <row r="152" spans="1:13" ht="15.75" x14ac:dyDescent="0.25">
      <c r="A152" s="158"/>
      <c r="B152" s="158"/>
      <c r="C152" s="158"/>
      <c r="D152" s="158"/>
      <c r="E152" s="158"/>
      <c r="F152" s="158"/>
      <c r="G152" s="158"/>
      <c r="H152" s="158"/>
      <c r="I152" s="158"/>
      <c r="J152" s="158"/>
      <c r="K152" s="158"/>
      <c r="L152" s="158"/>
      <c r="M152" s="158"/>
    </row>
    <row r="153" spans="1:13" ht="15.75" x14ac:dyDescent="0.25">
      <c r="A153" s="158"/>
      <c r="B153" s="158"/>
      <c r="C153" s="158"/>
      <c r="D153" s="158"/>
      <c r="E153" s="158"/>
      <c r="F153" s="158"/>
      <c r="G153" s="158"/>
      <c r="H153" s="158"/>
      <c r="I153" s="158"/>
      <c r="J153" s="158"/>
      <c r="K153" s="158"/>
      <c r="L153" s="158"/>
      <c r="M153" s="158"/>
    </row>
    <row r="154" spans="1:13" ht="15.75" x14ac:dyDescent="0.25">
      <c r="A154" s="158"/>
      <c r="B154" s="158"/>
      <c r="C154" s="158"/>
      <c r="D154" s="158"/>
      <c r="E154" s="158"/>
      <c r="F154" s="158"/>
      <c r="G154" s="158"/>
      <c r="H154" s="158"/>
      <c r="I154" s="158"/>
      <c r="J154" s="158"/>
      <c r="K154" s="158"/>
      <c r="L154" s="158"/>
      <c r="M154" s="158"/>
    </row>
    <row r="155" spans="1:13" ht="15.75" x14ac:dyDescent="0.25">
      <c r="A155" s="158"/>
      <c r="B155" s="158"/>
      <c r="C155" s="158"/>
      <c r="D155" s="158"/>
      <c r="E155" s="158"/>
      <c r="F155" s="158"/>
      <c r="G155" s="158"/>
      <c r="H155" s="158"/>
      <c r="I155" s="158"/>
      <c r="J155" s="158"/>
      <c r="K155" s="158"/>
      <c r="L155" s="158"/>
      <c r="M155" s="158"/>
    </row>
    <row r="156" spans="1:13" ht="15.75" x14ac:dyDescent="0.25">
      <c r="A156" s="158"/>
      <c r="B156" s="158"/>
      <c r="C156" s="158"/>
      <c r="D156" s="158"/>
      <c r="E156" s="158"/>
      <c r="F156" s="158"/>
      <c r="G156" s="158"/>
      <c r="H156" s="158"/>
      <c r="I156" s="158"/>
      <c r="J156" s="158"/>
      <c r="K156" s="158"/>
      <c r="L156" s="158"/>
      <c r="M156" s="158"/>
    </row>
    <row r="157" spans="1:13" ht="15.75" x14ac:dyDescent="0.25">
      <c r="A157" s="158"/>
      <c r="B157" s="158"/>
      <c r="C157" s="158"/>
      <c r="D157" s="158"/>
      <c r="E157" s="158"/>
      <c r="F157" s="158"/>
      <c r="G157" s="158"/>
      <c r="H157" s="158"/>
      <c r="I157" s="158"/>
      <c r="J157" s="158"/>
      <c r="K157" s="158"/>
      <c r="L157" s="158"/>
      <c r="M157" s="158"/>
    </row>
    <row r="158" spans="1:13" ht="15.75" x14ac:dyDescent="0.25">
      <c r="A158" s="158"/>
      <c r="B158" s="158"/>
      <c r="C158" s="158"/>
      <c r="D158" s="158"/>
      <c r="E158" s="158"/>
      <c r="F158" s="158"/>
      <c r="G158" s="158"/>
      <c r="H158" s="158"/>
      <c r="I158" s="158"/>
      <c r="J158" s="158"/>
      <c r="K158" s="158"/>
      <c r="L158" s="158"/>
      <c r="M158" s="158"/>
    </row>
    <row r="159" spans="1:13" ht="15.75" x14ac:dyDescent="0.25">
      <c r="A159" s="158"/>
      <c r="B159" s="158"/>
      <c r="C159" s="158"/>
      <c r="D159" s="158"/>
      <c r="E159" s="158"/>
      <c r="F159" s="158"/>
      <c r="G159" s="158"/>
      <c r="H159" s="158"/>
      <c r="I159" s="158"/>
      <c r="J159" s="158"/>
      <c r="K159" s="158"/>
      <c r="L159" s="158"/>
      <c r="M159" s="158"/>
    </row>
    <row r="160" spans="1:13" ht="15.75" x14ac:dyDescent="0.25">
      <c r="A160" s="158"/>
      <c r="B160" s="158"/>
      <c r="C160" s="158"/>
      <c r="D160" s="158"/>
      <c r="E160" s="158"/>
      <c r="F160" s="158"/>
      <c r="G160" s="158"/>
      <c r="H160" s="158"/>
      <c r="I160" s="158"/>
      <c r="J160" s="158"/>
      <c r="K160" s="158"/>
      <c r="L160" s="158"/>
      <c r="M160" s="158"/>
    </row>
    <row r="161" spans="1:13" ht="15.75" x14ac:dyDescent="0.25">
      <c r="A161" s="158"/>
      <c r="B161" s="158"/>
      <c r="C161" s="158"/>
      <c r="D161" s="158"/>
      <c r="E161" s="158"/>
      <c r="F161" s="158"/>
      <c r="G161" s="158"/>
      <c r="H161" s="158"/>
      <c r="I161" s="158"/>
      <c r="J161" s="158"/>
      <c r="K161" s="158"/>
      <c r="L161" s="158"/>
      <c r="M161" s="158"/>
    </row>
    <row r="162" spans="1:13" ht="15.75" x14ac:dyDescent="0.25">
      <c r="A162" s="158"/>
      <c r="B162" s="158"/>
      <c r="C162" s="158"/>
      <c r="D162" s="158"/>
      <c r="E162" s="158"/>
      <c r="F162" s="158"/>
      <c r="G162" s="158"/>
      <c r="H162" s="158"/>
      <c r="I162" s="158"/>
      <c r="J162" s="158"/>
      <c r="K162" s="158"/>
      <c r="L162" s="158"/>
      <c r="M162" s="158"/>
    </row>
    <row r="163" spans="1:13" ht="15.75" x14ac:dyDescent="0.25">
      <c r="A163" s="158"/>
      <c r="B163" s="158"/>
      <c r="C163" s="158"/>
      <c r="D163" s="158"/>
      <c r="E163" s="158"/>
      <c r="F163" s="158"/>
      <c r="G163" s="158"/>
      <c r="H163" s="158"/>
      <c r="I163" s="158"/>
      <c r="J163" s="158"/>
      <c r="K163" s="158"/>
      <c r="L163" s="158"/>
      <c r="M163" s="158"/>
    </row>
    <row r="164" spans="1:13" ht="15.75" x14ac:dyDescent="0.25">
      <c r="A164" s="158"/>
      <c r="B164" s="158"/>
      <c r="C164" s="158"/>
      <c r="D164" s="158"/>
      <c r="E164" s="158"/>
      <c r="F164" s="158"/>
      <c r="G164" s="158"/>
      <c r="H164" s="158"/>
      <c r="I164" s="158"/>
      <c r="J164" s="158"/>
      <c r="K164" s="158"/>
      <c r="L164" s="158"/>
      <c r="M164" s="158"/>
    </row>
    <row r="165" spans="1:13" ht="15.75" x14ac:dyDescent="0.25">
      <c r="A165" s="158"/>
      <c r="B165" s="158"/>
      <c r="C165" s="158"/>
      <c r="D165" s="158"/>
      <c r="E165" s="158"/>
      <c r="F165" s="158"/>
      <c r="G165" s="158"/>
      <c r="H165" s="158"/>
      <c r="I165" s="158"/>
      <c r="J165" s="158"/>
      <c r="K165" s="158"/>
      <c r="L165" s="158"/>
      <c r="M165" s="158"/>
    </row>
    <row r="166" spans="1:13" ht="15.75" x14ac:dyDescent="0.25">
      <c r="A166" s="158"/>
      <c r="B166" s="158"/>
      <c r="C166" s="158"/>
      <c r="D166" s="158"/>
      <c r="E166" s="158"/>
      <c r="F166" s="158"/>
      <c r="G166" s="158"/>
      <c r="H166" s="158"/>
      <c r="I166" s="158"/>
      <c r="J166" s="158"/>
      <c r="K166" s="158"/>
      <c r="L166" s="158"/>
      <c r="M166" s="158"/>
    </row>
    <row r="167" spans="1:13" ht="15.75" x14ac:dyDescent="0.25">
      <c r="A167" s="158"/>
      <c r="B167" s="158"/>
      <c r="C167" s="158"/>
      <c r="D167" s="158"/>
      <c r="E167" s="158"/>
      <c r="F167" s="158"/>
      <c r="G167" s="158"/>
      <c r="H167" s="158"/>
      <c r="I167" s="158"/>
      <c r="J167" s="158"/>
      <c r="K167" s="158"/>
      <c r="L167" s="158"/>
      <c r="M167" s="158"/>
    </row>
    <row r="168" spans="1:13" ht="15.75" x14ac:dyDescent="0.25">
      <c r="A168" s="158"/>
      <c r="B168" s="158"/>
      <c r="C168" s="158"/>
      <c r="D168" s="158"/>
      <c r="E168" s="158"/>
      <c r="F168" s="158"/>
      <c r="G168" s="158"/>
      <c r="H168" s="158"/>
      <c r="I168" s="158"/>
      <c r="J168" s="158"/>
      <c r="K168" s="158"/>
      <c r="L168" s="158"/>
      <c r="M168" s="158"/>
    </row>
    <row r="169" spans="1:13" ht="15.75" x14ac:dyDescent="0.25">
      <c r="A169" s="158"/>
      <c r="B169" s="158"/>
      <c r="C169" s="158"/>
      <c r="D169" s="158"/>
      <c r="E169" s="158"/>
      <c r="F169" s="158"/>
      <c r="G169" s="158"/>
      <c r="H169" s="158"/>
      <c r="I169" s="158"/>
      <c r="J169" s="158"/>
      <c r="K169" s="158"/>
      <c r="L169" s="158"/>
      <c r="M169" s="158"/>
    </row>
    <row r="170" spans="1:13" ht="15.75" x14ac:dyDescent="0.25">
      <c r="A170" s="158"/>
      <c r="B170" s="158"/>
      <c r="C170" s="158"/>
      <c r="D170" s="158"/>
      <c r="E170" s="158"/>
      <c r="F170" s="158"/>
      <c r="G170" s="158"/>
      <c r="H170" s="158"/>
      <c r="I170" s="158"/>
      <c r="J170" s="158"/>
      <c r="K170" s="158"/>
      <c r="L170" s="158"/>
      <c r="M170" s="158"/>
    </row>
    <row r="171" spans="1:13" ht="15.75" x14ac:dyDescent="0.25">
      <c r="A171" s="158"/>
      <c r="B171" s="158"/>
      <c r="C171" s="158"/>
      <c r="D171" s="158"/>
      <c r="E171" s="158"/>
      <c r="F171" s="158"/>
      <c r="G171" s="158"/>
      <c r="H171" s="158"/>
      <c r="I171" s="158"/>
      <c r="J171" s="158"/>
      <c r="K171" s="158"/>
      <c r="L171" s="158"/>
      <c r="M171" s="158"/>
    </row>
    <row r="172" spans="1:13" ht="15.75" x14ac:dyDescent="0.25">
      <c r="A172" s="158"/>
      <c r="B172" s="158"/>
      <c r="C172" s="158"/>
      <c r="D172" s="158"/>
      <c r="E172" s="158"/>
      <c r="F172" s="158"/>
      <c r="G172" s="158"/>
      <c r="H172" s="158"/>
      <c r="I172" s="158"/>
      <c r="J172" s="158"/>
      <c r="K172" s="158"/>
      <c r="L172" s="158"/>
      <c r="M172" s="158"/>
    </row>
    <row r="173" spans="1:13" ht="15.75" x14ac:dyDescent="0.25">
      <c r="A173" s="158"/>
      <c r="B173" s="158"/>
      <c r="C173" s="158"/>
      <c r="D173" s="158"/>
      <c r="E173" s="158"/>
      <c r="F173" s="158"/>
      <c r="G173" s="158"/>
      <c r="H173" s="158"/>
      <c r="I173" s="158"/>
      <c r="J173" s="158"/>
      <c r="K173" s="158"/>
      <c r="L173" s="158"/>
      <c r="M173" s="158"/>
    </row>
    <row r="174" spans="1:13" ht="15.75" x14ac:dyDescent="0.25">
      <c r="A174" s="158"/>
      <c r="B174" s="158"/>
      <c r="C174" s="158"/>
      <c r="D174" s="158"/>
      <c r="E174" s="158"/>
      <c r="F174" s="158"/>
      <c r="G174" s="158"/>
      <c r="H174" s="158"/>
      <c r="I174" s="158"/>
      <c r="J174" s="158"/>
      <c r="K174" s="158"/>
      <c r="L174" s="158"/>
      <c r="M174" s="158"/>
    </row>
    <row r="175" spans="1:13" ht="15.75" x14ac:dyDescent="0.25">
      <c r="A175" s="158"/>
      <c r="B175" s="158"/>
      <c r="C175" s="158"/>
      <c r="D175" s="158"/>
      <c r="E175" s="158"/>
      <c r="F175" s="158"/>
      <c r="G175" s="158"/>
      <c r="H175" s="158"/>
      <c r="I175" s="158"/>
      <c r="J175" s="158"/>
      <c r="K175" s="158"/>
      <c r="L175" s="158"/>
      <c r="M175" s="158"/>
    </row>
    <row r="176" spans="1:13" ht="15.75" x14ac:dyDescent="0.25">
      <c r="A176" s="158"/>
      <c r="B176" s="158"/>
      <c r="C176" s="158"/>
      <c r="D176" s="158"/>
      <c r="E176" s="158"/>
      <c r="F176" s="158"/>
      <c r="G176" s="158"/>
      <c r="H176" s="158"/>
      <c r="I176" s="158"/>
      <c r="J176" s="158"/>
      <c r="K176" s="158"/>
      <c r="L176" s="158"/>
      <c r="M176" s="158"/>
    </row>
    <row r="177" spans="1:13" ht="15.75" x14ac:dyDescent="0.25">
      <c r="A177" s="158"/>
      <c r="B177" s="158"/>
      <c r="C177" s="158"/>
      <c r="D177" s="158"/>
      <c r="E177" s="158"/>
      <c r="F177" s="158"/>
      <c r="G177" s="158"/>
      <c r="H177" s="158"/>
      <c r="I177" s="158"/>
      <c r="J177" s="158"/>
      <c r="K177" s="158"/>
      <c r="L177" s="158"/>
      <c r="M177" s="158"/>
    </row>
    <row r="178" spans="1:13" ht="15.75" x14ac:dyDescent="0.25">
      <c r="A178" s="158"/>
      <c r="B178" s="158"/>
      <c r="C178" s="158"/>
      <c r="D178" s="158"/>
      <c r="E178" s="158"/>
      <c r="F178" s="158"/>
      <c r="G178" s="158"/>
      <c r="H178" s="158"/>
      <c r="I178" s="158"/>
      <c r="J178" s="158"/>
      <c r="K178" s="158"/>
      <c r="L178" s="158"/>
      <c r="M178" s="158"/>
    </row>
    <row r="179" spans="1:13" ht="15.75" x14ac:dyDescent="0.25">
      <c r="A179" s="158"/>
      <c r="B179" s="158"/>
      <c r="C179" s="158"/>
      <c r="D179" s="158"/>
      <c r="E179" s="158"/>
      <c r="F179" s="158"/>
      <c r="G179" s="158"/>
      <c r="H179" s="158"/>
      <c r="I179" s="158"/>
      <c r="J179" s="158"/>
      <c r="K179" s="158"/>
      <c r="L179" s="158"/>
      <c r="M179" s="158"/>
    </row>
    <row r="180" spans="1:13" ht="15.75" x14ac:dyDescent="0.25">
      <c r="A180" s="158"/>
      <c r="B180" s="158"/>
      <c r="C180" s="158"/>
      <c r="D180" s="158"/>
      <c r="E180" s="158"/>
      <c r="F180" s="158"/>
      <c r="G180" s="158"/>
      <c r="H180" s="158"/>
      <c r="I180" s="158"/>
      <c r="J180" s="158"/>
      <c r="K180" s="158"/>
      <c r="L180" s="158"/>
      <c r="M180" s="158"/>
    </row>
    <row r="181" spans="1:13" ht="15.75" x14ac:dyDescent="0.25">
      <c r="A181" s="158"/>
      <c r="B181" s="158"/>
      <c r="C181" s="158"/>
      <c r="D181" s="158"/>
      <c r="E181" s="158"/>
      <c r="F181" s="158"/>
      <c r="G181" s="158"/>
      <c r="H181" s="158"/>
      <c r="I181" s="158"/>
      <c r="J181" s="158"/>
      <c r="K181" s="158"/>
      <c r="L181" s="158"/>
      <c r="M181" s="158"/>
    </row>
    <row r="182" spans="1:13" ht="15.75" x14ac:dyDescent="0.25">
      <c r="A182" s="158"/>
      <c r="B182" s="158"/>
      <c r="C182" s="158"/>
      <c r="D182" s="158"/>
      <c r="E182" s="158"/>
      <c r="F182" s="158"/>
      <c r="G182" s="158"/>
      <c r="H182" s="158"/>
      <c r="I182" s="158"/>
      <c r="J182" s="158"/>
      <c r="K182" s="158"/>
      <c r="L182" s="158"/>
      <c r="M182" s="158"/>
    </row>
    <row r="183" spans="1:13" ht="15.75" x14ac:dyDescent="0.25">
      <c r="A183" s="158"/>
      <c r="B183" s="158"/>
      <c r="C183" s="158"/>
      <c r="D183" s="158"/>
      <c r="E183" s="158"/>
      <c r="F183" s="158"/>
      <c r="G183" s="158"/>
      <c r="H183" s="158"/>
      <c r="I183" s="158"/>
      <c r="J183" s="158"/>
      <c r="K183" s="158"/>
      <c r="L183" s="158"/>
      <c r="M183" s="158"/>
    </row>
    <row r="184" spans="1:13" ht="15.75" x14ac:dyDescent="0.25">
      <c r="A184" s="158"/>
      <c r="B184" s="158"/>
      <c r="C184" s="158"/>
      <c r="D184" s="158"/>
      <c r="E184" s="158"/>
      <c r="F184" s="158"/>
      <c r="G184" s="158"/>
      <c r="H184" s="158"/>
      <c r="I184" s="158"/>
      <c r="J184" s="158"/>
      <c r="K184" s="158"/>
      <c r="L184" s="158"/>
      <c r="M184" s="158"/>
    </row>
    <row r="185" spans="1:13" ht="15.75" x14ac:dyDescent="0.25">
      <c r="A185" s="158"/>
      <c r="B185" s="158"/>
      <c r="C185" s="158"/>
      <c r="D185" s="158"/>
      <c r="E185" s="158"/>
      <c r="F185" s="158"/>
      <c r="G185" s="158"/>
      <c r="H185" s="158"/>
      <c r="I185" s="158"/>
      <c r="J185" s="158"/>
      <c r="K185" s="158"/>
      <c r="L185" s="158"/>
      <c r="M185" s="158"/>
    </row>
    <row r="186" spans="1:13" ht="15.75" x14ac:dyDescent="0.25">
      <c r="A186" s="158"/>
      <c r="B186" s="158"/>
      <c r="C186" s="158"/>
      <c r="D186" s="158"/>
      <c r="E186" s="158"/>
      <c r="F186" s="158"/>
      <c r="G186" s="158"/>
      <c r="H186" s="158"/>
      <c r="I186" s="158"/>
      <c r="J186" s="158"/>
      <c r="K186" s="158"/>
      <c r="L186" s="158"/>
      <c r="M186" s="158"/>
    </row>
    <row r="187" spans="1:13" ht="15.75" x14ac:dyDescent="0.25">
      <c r="A187" s="158"/>
      <c r="B187" s="158"/>
      <c r="C187" s="158"/>
      <c r="D187" s="158"/>
      <c r="E187" s="158"/>
      <c r="F187" s="158"/>
      <c r="G187" s="158"/>
      <c r="H187" s="158"/>
      <c r="I187" s="158"/>
      <c r="J187" s="158"/>
      <c r="K187" s="158"/>
      <c r="L187" s="158"/>
      <c r="M187" s="158"/>
    </row>
    <row r="188" spans="1:13" ht="15.75" x14ac:dyDescent="0.25">
      <c r="A188" s="158"/>
      <c r="B188" s="158"/>
      <c r="C188" s="158"/>
      <c r="D188" s="158"/>
      <c r="E188" s="158"/>
      <c r="F188" s="158"/>
      <c r="G188" s="158"/>
      <c r="H188" s="158"/>
      <c r="I188" s="158"/>
      <c r="J188" s="158"/>
      <c r="K188" s="158"/>
      <c r="L188" s="158"/>
      <c r="M188" s="158"/>
    </row>
    <row r="189" spans="1:13" ht="15.75" x14ac:dyDescent="0.25">
      <c r="A189" s="158"/>
      <c r="B189" s="158"/>
      <c r="C189" s="158"/>
      <c r="D189" s="158"/>
      <c r="E189" s="158"/>
      <c r="F189" s="158"/>
      <c r="G189" s="158"/>
      <c r="H189" s="158"/>
      <c r="I189" s="158"/>
      <c r="J189" s="158"/>
      <c r="K189" s="158"/>
      <c r="L189" s="158"/>
      <c r="M189" s="158"/>
    </row>
    <row r="190" spans="1:13" ht="15.75" x14ac:dyDescent="0.25">
      <c r="A190" s="158"/>
      <c r="B190" s="158"/>
      <c r="C190" s="158"/>
      <c r="D190" s="158"/>
      <c r="E190" s="158"/>
      <c r="F190" s="158"/>
      <c r="G190" s="158"/>
      <c r="H190" s="158"/>
      <c r="I190" s="158"/>
      <c r="J190" s="158"/>
      <c r="K190" s="158"/>
      <c r="L190" s="158"/>
      <c r="M190" s="158"/>
    </row>
    <row r="191" spans="1:13" ht="15.75" x14ac:dyDescent="0.25">
      <c r="A191" s="158"/>
      <c r="B191" s="158"/>
      <c r="C191" s="158"/>
      <c r="D191" s="158"/>
      <c r="E191" s="158"/>
      <c r="F191" s="158"/>
      <c r="G191" s="158"/>
      <c r="H191" s="158"/>
      <c r="I191" s="158"/>
      <c r="J191" s="158"/>
      <c r="K191" s="158"/>
      <c r="L191" s="158"/>
      <c r="M191" s="158"/>
    </row>
    <row r="192" spans="1:13" ht="15.75" x14ac:dyDescent="0.25">
      <c r="A192" s="158"/>
      <c r="B192" s="158"/>
      <c r="C192" s="158"/>
      <c r="D192" s="158"/>
      <c r="E192" s="158"/>
      <c r="F192" s="158"/>
      <c r="G192" s="158"/>
      <c r="H192" s="158"/>
      <c r="I192" s="158"/>
      <c r="J192" s="158"/>
      <c r="K192" s="158"/>
      <c r="L192" s="158"/>
      <c r="M192" s="158"/>
    </row>
    <row r="193" spans="1:13" ht="15.75" x14ac:dyDescent="0.25">
      <c r="A193" s="158"/>
      <c r="B193" s="158"/>
      <c r="C193" s="158"/>
      <c r="D193" s="158"/>
      <c r="E193" s="158"/>
      <c r="F193" s="158"/>
      <c r="G193" s="158"/>
      <c r="H193" s="158"/>
      <c r="I193" s="158"/>
      <c r="J193" s="158"/>
      <c r="K193" s="158"/>
      <c r="L193" s="158"/>
      <c r="M193" s="158"/>
    </row>
    <row r="194" spans="1:13" ht="15.75" x14ac:dyDescent="0.25">
      <c r="A194" s="158"/>
      <c r="B194" s="158"/>
      <c r="C194" s="158"/>
      <c r="D194" s="158"/>
      <c r="E194" s="158"/>
      <c r="F194" s="158"/>
      <c r="G194" s="158"/>
      <c r="H194" s="158"/>
      <c r="I194" s="158"/>
      <c r="J194" s="158"/>
      <c r="K194" s="158"/>
      <c r="L194" s="158"/>
      <c r="M194" s="158"/>
    </row>
    <row r="195" spans="1:13" ht="15.75" x14ac:dyDescent="0.25">
      <c r="A195" s="158"/>
      <c r="B195" s="158"/>
      <c r="C195" s="158"/>
      <c r="D195" s="158"/>
      <c r="E195" s="158"/>
      <c r="F195" s="158"/>
      <c r="G195" s="158"/>
      <c r="H195" s="158"/>
      <c r="I195" s="158"/>
      <c r="J195" s="158"/>
      <c r="K195" s="158"/>
      <c r="L195" s="158"/>
      <c r="M195" s="158"/>
    </row>
    <row r="196" spans="1:13" ht="15.75" x14ac:dyDescent="0.25">
      <c r="A196" s="158"/>
      <c r="B196" s="158"/>
      <c r="C196" s="158"/>
      <c r="D196" s="158"/>
      <c r="E196" s="158"/>
      <c r="F196" s="158"/>
      <c r="G196" s="158"/>
      <c r="H196" s="158"/>
      <c r="I196" s="158"/>
      <c r="J196" s="158"/>
      <c r="K196" s="158"/>
      <c r="L196" s="158"/>
      <c r="M196" s="158"/>
    </row>
    <row r="197" spans="1:13" ht="15.75" x14ac:dyDescent="0.25">
      <c r="A197" s="158"/>
      <c r="B197" s="158"/>
      <c r="C197" s="158"/>
      <c r="D197" s="158"/>
      <c r="E197" s="158"/>
      <c r="F197" s="158"/>
      <c r="G197" s="158"/>
      <c r="H197" s="158"/>
      <c r="I197" s="158"/>
      <c r="J197" s="158"/>
      <c r="K197" s="158"/>
      <c r="L197" s="158"/>
      <c r="M197" s="158"/>
    </row>
    <row r="198" spans="1:13" ht="15.75" x14ac:dyDescent="0.25">
      <c r="A198" s="158"/>
      <c r="B198" s="158"/>
      <c r="C198" s="158"/>
      <c r="D198" s="158"/>
      <c r="E198" s="158"/>
      <c r="F198" s="158"/>
      <c r="G198" s="158"/>
      <c r="H198" s="158"/>
      <c r="I198" s="158"/>
      <c r="J198" s="158"/>
      <c r="K198" s="158"/>
      <c r="L198" s="158"/>
      <c r="M198" s="158"/>
    </row>
    <row r="199" spans="1:13" ht="15.75" x14ac:dyDescent="0.25">
      <c r="A199" s="158"/>
      <c r="B199" s="158"/>
      <c r="C199" s="158"/>
      <c r="D199" s="158"/>
      <c r="E199" s="158"/>
      <c r="F199" s="158"/>
      <c r="G199" s="158"/>
      <c r="H199" s="158"/>
      <c r="I199" s="158"/>
      <c r="J199" s="158"/>
      <c r="K199" s="158"/>
      <c r="L199" s="158"/>
      <c r="M199" s="158"/>
    </row>
    <row r="200" spans="1:13" ht="15.75" x14ac:dyDescent="0.25">
      <c r="A200" s="158"/>
      <c r="B200" s="158"/>
      <c r="C200" s="158"/>
      <c r="D200" s="158"/>
      <c r="E200" s="158"/>
      <c r="F200" s="158"/>
      <c r="G200" s="158"/>
      <c r="H200" s="158"/>
      <c r="I200" s="158"/>
      <c r="J200" s="158"/>
      <c r="K200" s="158"/>
      <c r="L200" s="158"/>
      <c r="M200" s="158"/>
    </row>
    <row r="201" spans="1:13" ht="15.75" x14ac:dyDescent="0.25">
      <c r="A201" s="158"/>
      <c r="B201" s="158"/>
      <c r="C201" s="158"/>
      <c r="D201" s="158"/>
      <c r="E201" s="158"/>
      <c r="F201" s="158"/>
      <c r="G201" s="158"/>
      <c r="H201" s="158"/>
      <c r="I201" s="158"/>
      <c r="J201" s="158"/>
      <c r="K201" s="158"/>
      <c r="L201" s="158"/>
      <c r="M201" s="158"/>
    </row>
    <row r="202" spans="1:13" ht="15.75" x14ac:dyDescent="0.25">
      <c r="A202" s="158"/>
      <c r="B202" s="158"/>
      <c r="C202" s="158"/>
      <c r="D202" s="158"/>
      <c r="E202" s="158"/>
      <c r="F202" s="158"/>
      <c r="G202" s="158"/>
      <c r="H202" s="158"/>
      <c r="I202" s="158"/>
      <c r="J202" s="158"/>
      <c r="K202" s="158"/>
      <c r="L202" s="158"/>
      <c r="M202" s="158"/>
    </row>
    <row r="203" spans="1:13" ht="15.75" x14ac:dyDescent="0.25">
      <c r="A203" s="158"/>
      <c r="B203" s="158"/>
      <c r="C203" s="158"/>
      <c r="D203" s="158"/>
      <c r="E203" s="158"/>
      <c r="F203" s="158"/>
      <c r="G203" s="158"/>
      <c r="H203" s="158"/>
      <c r="I203" s="158"/>
      <c r="J203" s="158"/>
      <c r="K203" s="158"/>
      <c r="L203" s="158"/>
      <c r="M203" s="158"/>
    </row>
    <row r="204" spans="1:13" ht="15.75" x14ac:dyDescent="0.25">
      <c r="A204" s="158"/>
      <c r="B204" s="158"/>
      <c r="C204" s="158"/>
      <c r="D204" s="158"/>
      <c r="E204" s="158"/>
      <c r="F204" s="158"/>
      <c r="G204" s="158"/>
      <c r="H204" s="158"/>
      <c r="I204" s="158"/>
      <c r="J204" s="158"/>
      <c r="K204" s="158"/>
      <c r="L204" s="158"/>
      <c r="M204" s="158"/>
    </row>
    <row r="205" spans="1:13" ht="15.75" x14ac:dyDescent="0.25">
      <c r="A205" s="158"/>
      <c r="B205" s="158"/>
      <c r="C205" s="158"/>
      <c r="D205" s="158"/>
      <c r="E205" s="158"/>
      <c r="F205" s="158"/>
      <c r="G205" s="158"/>
      <c r="H205" s="158"/>
      <c r="I205" s="158"/>
      <c r="J205" s="158"/>
      <c r="K205" s="158"/>
      <c r="L205" s="158"/>
      <c r="M205" s="158"/>
    </row>
    <row r="206" spans="1:13" ht="15.75" x14ac:dyDescent="0.25">
      <c r="A206" s="158"/>
      <c r="B206" s="158"/>
      <c r="C206" s="158"/>
      <c r="D206" s="158"/>
      <c r="E206" s="158"/>
      <c r="F206" s="158"/>
      <c r="G206" s="158"/>
      <c r="H206" s="158"/>
      <c r="I206" s="158"/>
      <c r="J206" s="158"/>
      <c r="K206" s="158"/>
      <c r="L206" s="158"/>
      <c r="M206" s="158"/>
    </row>
    <row r="207" spans="1:13" ht="15.75" x14ac:dyDescent="0.25">
      <c r="A207" s="158"/>
      <c r="B207" s="158"/>
      <c r="C207" s="158"/>
      <c r="D207" s="158"/>
      <c r="E207" s="158"/>
      <c r="F207" s="158"/>
      <c r="G207" s="158"/>
      <c r="H207" s="158"/>
      <c r="I207" s="158"/>
      <c r="J207" s="158"/>
      <c r="K207" s="158"/>
      <c r="L207" s="158"/>
      <c r="M207" s="158"/>
    </row>
    <row r="208" spans="1:13" ht="15.75" x14ac:dyDescent="0.25">
      <c r="A208" s="158"/>
      <c r="B208" s="158"/>
      <c r="C208" s="158"/>
      <c r="D208" s="158"/>
      <c r="E208" s="158"/>
      <c r="F208" s="158"/>
      <c r="G208" s="158"/>
      <c r="H208" s="158"/>
      <c r="I208" s="158"/>
      <c r="J208" s="158"/>
      <c r="K208" s="158"/>
      <c r="L208" s="158"/>
      <c r="M208" s="158"/>
    </row>
    <row r="209" spans="1:13" ht="15.75" x14ac:dyDescent="0.25">
      <c r="A209" s="158"/>
      <c r="B209" s="158"/>
      <c r="C209" s="158"/>
      <c r="D209" s="158"/>
      <c r="E209" s="158"/>
      <c r="F209" s="158"/>
      <c r="G209" s="158"/>
      <c r="H209" s="158"/>
      <c r="I209" s="158"/>
      <c r="J209" s="158"/>
      <c r="K209" s="158"/>
      <c r="L209" s="158"/>
      <c r="M209" s="158"/>
    </row>
    <row r="210" spans="1:13" ht="15.75" x14ac:dyDescent="0.25">
      <c r="A210" s="158"/>
      <c r="B210" s="158"/>
      <c r="C210" s="158"/>
      <c r="D210" s="158"/>
      <c r="E210" s="158"/>
      <c r="F210" s="158"/>
      <c r="G210" s="158"/>
      <c r="H210" s="158"/>
      <c r="I210" s="158"/>
      <c r="J210" s="158"/>
      <c r="K210" s="158"/>
      <c r="L210" s="158"/>
      <c r="M210" s="158"/>
    </row>
    <row r="211" spans="1:13" ht="15.75" x14ac:dyDescent="0.25">
      <c r="A211" s="158"/>
      <c r="B211" s="158"/>
      <c r="C211" s="158"/>
      <c r="D211" s="158"/>
      <c r="E211" s="158"/>
      <c r="F211" s="158"/>
      <c r="G211" s="158"/>
      <c r="H211" s="158"/>
      <c r="I211" s="158"/>
      <c r="J211" s="158"/>
      <c r="K211" s="158"/>
      <c r="L211" s="158"/>
      <c r="M211" s="158"/>
    </row>
    <row r="212" spans="1:13" ht="15.75" x14ac:dyDescent="0.25">
      <c r="A212" s="158"/>
      <c r="B212" s="158"/>
      <c r="C212" s="158"/>
      <c r="D212" s="158"/>
      <c r="E212" s="158"/>
      <c r="F212" s="158"/>
      <c r="G212" s="158"/>
      <c r="H212" s="158"/>
      <c r="I212" s="158"/>
      <c r="J212" s="158"/>
      <c r="K212" s="158"/>
      <c r="L212" s="158"/>
      <c r="M212" s="158"/>
    </row>
    <row r="213" spans="1:13" ht="15.75" x14ac:dyDescent="0.25">
      <c r="A213" s="158"/>
      <c r="B213" s="158"/>
      <c r="C213" s="158"/>
      <c r="D213" s="158"/>
      <c r="E213" s="158"/>
      <c r="F213" s="158"/>
      <c r="G213" s="158"/>
      <c r="H213" s="158"/>
      <c r="I213" s="158"/>
      <c r="J213" s="158"/>
      <c r="K213" s="158"/>
      <c r="L213" s="158"/>
      <c r="M213" s="158"/>
    </row>
    <row r="214" spans="1:13" ht="15.75" x14ac:dyDescent="0.25">
      <c r="A214" s="158"/>
      <c r="B214" s="158"/>
      <c r="C214" s="158"/>
      <c r="D214" s="158"/>
      <c r="E214" s="158"/>
      <c r="F214" s="158"/>
      <c r="G214" s="158"/>
      <c r="H214" s="158"/>
      <c r="I214" s="158"/>
      <c r="J214" s="158"/>
      <c r="K214" s="158"/>
      <c r="L214" s="158"/>
      <c r="M214" s="158"/>
    </row>
    <row r="215" spans="1:13" ht="15.75" x14ac:dyDescent="0.25">
      <c r="A215" s="158"/>
      <c r="B215" s="158"/>
      <c r="C215" s="158"/>
      <c r="D215" s="158"/>
      <c r="E215" s="158"/>
      <c r="F215" s="158"/>
      <c r="G215" s="158"/>
      <c r="H215" s="158"/>
      <c r="I215" s="158"/>
      <c r="J215" s="158"/>
      <c r="K215" s="158"/>
      <c r="L215" s="158"/>
      <c r="M215" s="158"/>
    </row>
    <row r="216" spans="1:13" ht="15.75" x14ac:dyDescent="0.25">
      <c r="A216" s="158"/>
      <c r="B216" s="158"/>
      <c r="C216" s="158"/>
      <c r="D216" s="158"/>
      <c r="E216" s="158"/>
      <c r="F216" s="158"/>
      <c r="G216" s="158"/>
      <c r="H216" s="158"/>
      <c r="I216" s="158"/>
      <c r="J216" s="158"/>
      <c r="K216" s="158"/>
      <c r="L216" s="158"/>
      <c r="M216" s="158"/>
    </row>
    <row r="217" spans="1:13" ht="15.75" x14ac:dyDescent="0.25">
      <c r="A217" s="158"/>
      <c r="B217" s="158"/>
      <c r="C217" s="158"/>
      <c r="D217" s="158"/>
      <c r="E217" s="158"/>
      <c r="F217" s="158"/>
      <c r="G217" s="158"/>
      <c r="H217" s="158"/>
      <c r="I217" s="158"/>
      <c r="J217" s="158"/>
      <c r="K217" s="158"/>
      <c r="L217" s="158"/>
      <c r="M217" s="158"/>
    </row>
    <row r="218" spans="1:13" ht="15.75" x14ac:dyDescent="0.25">
      <c r="A218" s="158"/>
      <c r="B218" s="158"/>
      <c r="C218" s="158"/>
      <c r="D218" s="158"/>
      <c r="E218" s="158"/>
      <c r="F218" s="158"/>
      <c r="G218" s="158"/>
      <c r="H218" s="158"/>
      <c r="I218" s="158"/>
      <c r="J218" s="158"/>
      <c r="K218" s="158"/>
      <c r="L218" s="158"/>
      <c r="M218" s="158"/>
    </row>
    <row r="219" spans="1:13" ht="15.75" x14ac:dyDescent="0.25">
      <c r="A219" s="158"/>
      <c r="B219" s="158"/>
      <c r="C219" s="158"/>
      <c r="D219" s="158"/>
      <c r="E219" s="158"/>
      <c r="F219" s="158"/>
      <c r="G219" s="158"/>
      <c r="H219" s="158"/>
      <c r="I219" s="158"/>
      <c r="J219" s="158"/>
      <c r="K219" s="158"/>
      <c r="L219" s="158"/>
      <c r="M219" s="158"/>
    </row>
    <row r="220" spans="1:13" ht="15.75" x14ac:dyDescent="0.25">
      <c r="A220" s="158"/>
      <c r="B220" s="158"/>
      <c r="C220" s="158"/>
      <c r="D220" s="158"/>
      <c r="E220" s="158"/>
      <c r="F220" s="158"/>
      <c r="G220" s="158"/>
      <c r="H220" s="158"/>
      <c r="I220" s="158"/>
      <c r="J220" s="158"/>
      <c r="K220" s="158"/>
      <c r="L220" s="158"/>
      <c r="M220" s="158"/>
    </row>
    <row r="221" spans="1:13" ht="15.75" x14ac:dyDescent="0.25">
      <c r="A221" s="158"/>
      <c r="B221" s="158"/>
      <c r="C221" s="158"/>
      <c r="D221" s="158"/>
      <c r="E221" s="158"/>
      <c r="F221" s="158"/>
      <c r="G221" s="158"/>
      <c r="H221" s="158"/>
      <c r="I221" s="158"/>
      <c r="J221" s="158"/>
      <c r="K221" s="158"/>
      <c r="L221" s="158"/>
      <c r="M221" s="158"/>
    </row>
    <row r="222" spans="1:13" ht="15.75" x14ac:dyDescent="0.25">
      <c r="A222" s="158"/>
      <c r="B222" s="158"/>
      <c r="C222" s="158"/>
      <c r="D222" s="158"/>
      <c r="E222" s="158"/>
      <c r="F222" s="158"/>
      <c r="G222" s="158"/>
      <c r="H222" s="158"/>
      <c r="I222" s="158"/>
      <c r="J222" s="158"/>
      <c r="K222" s="158"/>
      <c r="L222" s="158"/>
      <c r="M222" s="158"/>
    </row>
    <row r="223" spans="1:13" ht="15.75" x14ac:dyDescent="0.25">
      <c r="A223" s="158"/>
      <c r="B223" s="158"/>
      <c r="C223" s="158"/>
      <c r="D223" s="158"/>
      <c r="E223" s="158"/>
      <c r="F223" s="158"/>
      <c r="G223" s="158"/>
      <c r="H223" s="158"/>
      <c r="I223" s="158"/>
      <c r="J223" s="158"/>
      <c r="K223" s="158"/>
      <c r="L223" s="158"/>
      <c r="M223" s="158"/>
    </row>
    <row r="224" spans="1:13" ht="15.75" x14ac:dyDescent="0.25">
      <c r="A224" s="158"/>
      <c r="B224" s="158"/>
      <c r="C224" s="158"/>
      <c r="D224" s="158"/>
      <c r="E224" s="158"/>
      <c r="F224" s="158"/>
      <c r="G224" s="158"/>
      <c r="H224" s="158"/>
      <c r="I224" s="158"/>
      <c r="J224" s="158"/>
      <c r="K224" s="158"/>
      <c r="L224" s="158"/>
      <c r="M224" s="158"/>
    </row>
    <row r="225" spans="1:13" ht="15.75" x14ac:dyDescent="0.25">
      <c r="A225" s="158"/>
      <c r="B225" s="158"/>
      <c r="C225" s="158"/>
      <c r="D225" s="158"/>
      <c r="E225" s="158"/>
      <c r="F225" s="158"/>
      <c r="G225" s="158"/>
      <c r="H225" s="158"/>
      <c r="I225" s="158"/>
      <c r="J225" s="158"/>
      <c r="K225" s="158"/>
      <c r="L225" s="158"/>
      <c r="M225" s="158"/>
    </row>
    <row r="226" spans="1:13" ht="15.75" x14ac:dyDescent="0.25">
      <c r="A226" s="158"/>
      <c r="B226" s="158"/>
      <c r="C226" s="158"/>
      <c r="D226" s="158"/>
      <c r="E226" s="158"/>
      <c r="F226" s="158"/>
      <c r="G226" s="158"/>
      <c r="H226" s="158"/>
      <c r="I226" s="158"/>
      <c r="J226" s="158"/>
      <c r="K226" s="158"/>
      <c r="L226" s="158"/>
      <c r="M226" s="158"/>
    </row>
    <row r="227" spans="1:13" ht="15.75" x14ac:dyDescent="0.25">
      <c r="A227" s="158"/>
      <c r="B227" s="158"/>
      <c r="C227" s="158"/>
      <c r="D227" s="158"/>
      <c r="E227" s="158"/>
      <c r="F227" s="158"/>
      <c r="G227" s="158"/>
      <c r="H227" s="158"/>
      <c r="I227" s="158"/>
      <c r="J227" s="158"/>
      <c r="K227" s="158"/>
      <c r="L227" s="158"/>
      <c r="M227" s="158"/>
    </row>
    <row r="228" spans="1:13" ht="15.75" x14ac:dyDescent="0.25">
      <c r="A228" s="158"/>
      <c r="B228" s="158"/>
      <c r="C228" s="158"/>
      <c r="D228" s="158"/>
      <c r="E228" s="158"/>
      <c r="F228" s="158"/>
      <c r="G228" s="158"/>
      <c r="H228" s="158"/>
      <c r="I228" s="158"/>
      <c r="J228" s="158"/>
      <c r="K228" s="158"/>
      <c r="L228" s="158"/>
      <c r="M228" s="158"/>
    </row>
    <row r="229" spans="1:13" ht="15.75" x14ac:dyDescent="0.25">
      <c r="A229" s="158"/>
      <c r="B229" s="158"/>
      <c r="C229" s="158"/>
      <c r="D229" s="158"/>
      <c r="E229" s="158"/>
      <c r="F229" s="158"/>
      <c r="G229" s="158"/>
      <c r="H229" s="158"/>
      <c r="I229" s="158"/>
      <c r="J229" s="158"/>
      <c r="K229" s="158"/>
      <c r="L229" s="158"/>
      <c r="M229" s="158"/>
    </row>
    <row r="230" spans="1:13" ht="15.75" x14ac:dyDescent="0.25">
      <c r="A230" s="158"/>
      <c r="B230" s="158"/>
      <c r="C230" s="158"/>
      <c r="D230" s="158"/>
      <c r="E230" s="158"/>
      <c r="F230" s="158"/>
      <c r="G230" s="158"/>
      <c r="H230" s="158"/>
      <c r="I230" s="158"/>
      <c r="J230" s="158"/>
      <c r="K230" s="158"/>
      <c r="L230" s="158"/>
      <c r="M230" s="158"/>
    </row>
    <row r="231" spans="1:13" ht="15.75" x14ac:dyDescent="0.25">
      <c r="A231" s="158"/>
      <c r="B231" s="158"/>
      <c r="C231" s="158"/>
      <c r="D231" s="158"/>
      <c r="E231" s="158"/>
      <c r="F231" s="158"/>
      <c r="G231" s="158"/>
      <c r="H231" s="158"/>
      <c r="I231" s="158"/>
      <c r="J231" s="158"/>
      <c r="K231" s="158"/>
      <c r="L231" s="158"/>
      <c r="M231" s="158"/>
    </row>
    <row r="232" spans="1:13" ht="15.75" x14ac:dyDescent="0.25">
      <c r="A232" s="158"/>
      <c r="B232" s="158"/>
      <c r="C232" s="158"/>
      <c r="D232" s="158"/>
      <c r="E232" s="158"/>
      <c r="F232" s="158"/>
      <c r="G232" s="158"/>
      <c r="H232" s="158"/>
      <c r="I232" s="158"/>
      <c r="J232" s="158"/>
      <c r="K232" s="158"/>
      <c r="L232" s="158"/>
      <c r="M232" s="158"/>
    </row>
    <row r="233" spans="1:13" ht="15.75" x14ac:dyDescent="0.25">
      <c r="A233" s="158"/>
      <c r="B233" s="158"/>
      <c r="C233" s="158"/>
      <c r="D233" s="158"/>
      <c r="E233" s="158"/>
      <c r="F233" s="158"/>
      <c r="G233" s="158"/>
      <c r="H233" s="158"/>
      <c r="I233" s="158"/>
      <c r="J233" s="158"/>
      <c r="K233" s="158"/>
      <c r="L233" s="158"/>
      <c r="M233" s="158"/>
    </row>
    <row r="234" spans="1:13" ht="15.75" x14ac:dyDescent="0.25">
      <c r="A234" s="158"/>
      <c r="B234" s="158"/>
      <c r="C234" s="158"/>
      <c r="D234" s="158"/>
      <c r="E234" s="158"/>
      <c r="F234" s="158"/>
      <c r="G234" s="158"/>
      <c r="H234" s="158"/>
      <c r="I234" s="158"/>
      <c r="J234" s="158"/>
      <c r="K234" s="158"/>
      <c r="L234" s="158"/>
      <c r="M234" s="158"/>
    </row>
    <row r="235" spans="1:13" ht="15.75" x14ac:dyDescent="0.25">
      <c r="A235" s="158"/>
      <c r="B235" s="158"/>
      <c r="C235" s="158"/>
      <c r="D235" s="158"/>
      <c r="E235" s="158"/>
      <c r="F235" s="158"/>
      <c r="G235" s="158"/>
      <c r="H235" s="158"/>
      <c r="I235" s="158"/>
      <c r="J235" s="158"/>
      <c r="K235" s="158"/>
      <c r="L235" s="158"/>
      <c r="M235" s="158"/>
    </row>
    <row r="236" spans="1:13" ht="15.75" x14ac:dyDescent="0.25">
      <c r="A236" s="158"/>
      <c r="B236" s="158"/>
      <c r="C236" s="158"/>
      <c r="D236" s="158"/>
      <c r="E236" s="158"/>
      <c r="F236" s="158"/>
      <c r="G236" s="158"/>
      <c r="H236" s="158"/>
      <c r="I236" s="158"/>
      <c r="J236" s="158"/>
      <c r="K236" s="158"/>
      <c r="L236" s="158"/>
      <c r="M236" s="158"/>
    </row>
    <row r="237" spans="1:13" ht="15.75" x14ac:dyDescent="0.25">
      <c r="A237" s="158"/>
      <c r="B237" s="158"/>
      <c r="C237" s="158"/>
      <c r="D237" s="158"/>
      <c r="E237" s="158"/>
      <c r="F237" s="158"/>
      <c r="G237" s="158"/>
      <c r="H237" s="158"/>
      <c r="I237" s="158"/>
      <c r="J237" s="158"/>
      <c r="K237" s="158"/>
      <c r="L237" s="158"/>
      <c r="M237" s="158"/>
    </row>
    <row r="238" spans="1:13" ht="15.75" x14ac:dyDescent="0.25">
      <c r="A238" s="158"/>
      <c r="B238" s="158"/>
      <c r="C238" s="158"/>
      <c r="D238" s="158"/>
      <c r="E238" s="158"/>
      <c r="F238" s="158"/>
      <c r="G238" s="158"/>
      <c r="H238" s="158"/>
      <c r="I238" s="158"/>
      <c r="J238" s="158"/>
      <c r="K238" s="158"/>
      <c r="L238" s="158"/>
      <c r="M238" s="158"/>
    </row>
    <row r="239" spans="1:13" ht="15.75" x14ac:dyDescent="0.25">
      <c r="A239" s="158"/>
      <c r="B239" s="158"/>
      <c r="C239" s="158"/>
      <c r="D239" s="158"/>
      <c r="E239" s="158"/>
      <c r="F239" s="158"/>
      <c r="G239" s="158"/>
      <c r="H239" s="158"/>
      <c r="I239" s="158"/>
      <c r="J239" s="158"/>
      <c r="K239" s="158"/>
      <c r="L239" s="158"/>
      <c r="M239" s="158"/>
    </row>
    <row r="240" spans="1:13" ht="15.75" x14ac:dyDescent="0.25">
      <c r="A240" s="158"/>
      <c r="B240" s="158"/>
      <c r="C240" s="158"/>
      <c r="D240" s="158"/>
      <c r="E240" s="158"/>
      <c r="F240" s="158"/>
      <c r="G240" s="158"/>
      <c r="H240" s="158"/>
      <c r="I240" s="158"/>
      <c r="J240" s="158"/>
      <c r="K240" s="158"/>
      <c r="L240" s="158"/>
      <c r="M240" s="158"/>
    </row>
    <row r="241" spans="1:13" ht="15.75" x14ac:dyDescent="0.25">
      <c r="A241" s="158"/>
      <c r="B241" s="158"/>
      <c r="C241" s="158"/>
      <c r="D241" s="158"/>
      <c r="E241" s="158"/>
      <c r="F241" s="158"/>
      <c r="G241" s="158"/>
      <c r="H241" s="158"/>
      <c r="I241" s="158"/>
      <c r="J241" s="158"/>
      <c r="K241" s="158"/>
      <c r="L241" s="158"/>
      <c r="M241" s="158"/>
    </row>
    <row r="242" spans="1:13" ht="15.75" x14ac:dyDescent="0.25">
      <c r="A242" s="158"/>
      <c r="B242" s="158"/>
      <c r="C242" s="158"/>
      <c r="D242" s="158"/>
      <c r="E242" s="158"/>
      <c r="F242" s="158"/>
      <c r="G242" s="158"/>
      <c r="H242" s="158"/>
      <c r="I242" s="158"/>
      <c r="J242" s="158"/>
      <c r="K242" s="158"/>
      <c r="L242" s="158"/>
      <c r="M242" s="158"/>
    </row>
    <row r="243" spans="1:13" ht="15.75" x14ac:dyDescent="0.25">
      <c r="A243" s="158"/>
      <c r="B243" s="158"/>
      <c r="C243" s="158"/>
      <c r="D243" s="158"/>
      <c r="E243" s="158"/>
      <c r="F243" s="158"/>
      <c r="G243" s="158"/>
      <c r="H243" s="158"/>
      <c r="I243" s="158"/>
      <c r="J243" s="158"/>
      <c r="K243" s="158"/>
      <c r="L243" s="158"/>
      <c r="M243" s="158"/>
    </row>
    <row r="244" spans="1:13" ht="15.75" x14ac:dyDescent="0.25">
      <c r="A244" s="158"/>
      <c r="B244" s="158"/>
      <c r="C244" s="158"/>
      <c r="D244" s="158"/>
      <c r="E244" s="158"/>
      <c r="F244" s="158"/>
      <c r="G244" s="158"/>
      <c r="H244" s="158"/>
      <c r="I244" s="158"/>
      <c r="J244" s="158"/>
      <c r="K244" s="158"/>
      <c r="L244" s="158"/>
      <c r="M244" s="158"/>
    </row>
    <row r="245" spans="1:13" ht="15.75" x14ac:dyDescent="0.25">
      <c r="A245" s="158"/>
      <c r="B245" s="158"/>
      <c r="C245" s="158"/>
      <c r="D245" s="158"/>
      <c r="E245" s="158"/>
      <c r="F245" s="158"/>
      <c r="G245" s="158"/>
      <c r="H245" s="158"/>
      <c r="I245" s="158"/>
      <c r="J245" s="158"/>
      <c r="K245" s="158"/>
      <c r="L245" s="158"/>
      <c r="M245" s="158"/>
    </row>
    <row r="246" spans="1:13" ht="15.75" x14ac:dyDescent="0.25">
      <c r="A246" s="158"/>
      <c r="B246" s="158"/>
      <c r="C246" s="158"/>
      <c r="D246" s="158"/>
      <c r="E246" s="158"/>
      <c r="F246" s="158"/>
      <c r="G246" s="158"/>
      <c r="H246" s="158"/>
      <c r="I246" s="158"/>
      <c r="J246" s="158"/>
      <c r="K246" s="158"/>
      <c r="L246" s="158"/>
      <c r="M246" s="158"/>
    </row>
    <row r="247" spans="1:13" ht="15.75" x14ac:dyDescent="0.25">
      <c r="A247" s="158"/>
      <c r="B247" s="158"/>
      <c r="C247" s="158"/>
      <c r="D247" s="158"/>
      <c r="E247" s="158"/>
      <c r="F247" s="158"/>
      <c r="G247" s="158"/>
      <c r="H247" s="158"/>
      <c r="I247" s="158"/>
      <c r="J247" s="158"/>
      <c r="K247" s="158"/>
      <c r="L247" s="158"/>
      <c r="M247" s="158"/>
    </row>
    <row r="248" spans="1:13" ht="15.75" x14ac:dyDescent="0.25">
      <c r="A248" s="158"/>
      <c r="B248" s="158"/>
      <c r="C248" s="158"/>
      <c r="D248" s="158"/>
      <c r="E248" s="158"/>
      <c r="F248" s="158"/>
      <c r="G248" s="158"/>
      <c r="H248" s="158"/>
      <c r="I248" s="158"/>
      <c r="J248" s="158"/>
      <c r="K248" s="158"/>
      <c r="L248" s="158"/>
      <c r="M248" s="158"/>
    </row>
    <row r="249" spans="1:13" ht="15.75" x14ac:dyDescent="0.25">
      <c r="A249" s="158"/>
      <c r="B249" s="158"/>
      <c r="C249" s="158"/>
      <c r="D249" s="158"/>
      <c r="E249" s="158"/>
      <c r="F249" s="158"/>
      <c r="G249" s="158"/>
      <c r="H249" s="158"/>
      <c r="I249" s="158"/>
      <c r="J249" s="158"/>
      <c r="K249" s="158"/>
      <c r="L249" s="158"/>
      <c r="M249" s="158"/>
    </row>
    <row r="250" spans="1:13" ht="15.75" x14ac:dyDescent="0.25">
      <c r="A250" s="158"/>
      <c r="B250" s="158"/>
      <c r="C250" s="158"/>
      <c r="D250" s="158"/>
      <c r="E250" s="158"/>
      <c r="F250" s="158"/>
      <c r="G250" s="158"/>
      <c r="H250" s="158"/>
      <c r="I250" s="158"/>
      <c r="J250" s="158"/>
      <c r="K250" s="158"/>
      <c r="L250" s="158"/>
      <c r="M250" s="158"/>
    </row>
    <row r="251" spans="1:13" ht="15.75" x14ac:dyDescent="0.25">
      <c r="A251" s="158"/>
      <c r="B251" s="158"/>
      <c r="C251" s="158"/>
      <c r="D251" s="158"/>
      <c r="E251" s="158"/>
      <c r="F251" s="158"/>
      <c r="G251" s="158"/>
      <c r="H251" s="158"/>
      <c r="I251" s="158"/>
      <c r="J251" s="158"/>
      <c r="K251" s="158"/>
      <c r="L251" s="158"/>
      <c r="M251" s="158"/>
    </row>
    <row r="252" spans="1:13" ht="15.75" x14ac:dyDescent="0.25">
      <c r="A252" s="158"/>
      <c r="B252" s="158"/>
      <c r="C252" s="158"/>
      <c r="D252" s="158"/>
      <c r="E252" s="158"/>
      <c r="F252" s="158"/>
      <c r="G252" s="158"/>
      <c r="H252" s="158"/>
      <c r="I252" s="158"/>
      <c r="J252" s="158"/>
      <c r="K252" s="158"/>
      <c r="L252" s="158"/>
      <c r="M252" s="158"/>
    </row>
    <row r="253" spans="1:13" ht="15.75" x14ac:dyDescent="0.25">
      <c r="A253" s="158"/>
      <c r="B253" s="158"/>
      <c r="C253" s="158"/>
      <c r="D253" s="158"/>
      <c r="E253" s="158"/>
      <c r="F253" s="158"/>
      <c r="G253" s="158"/>
      <c r="H253" s="158"/>
      <c r="I253" s="158"/>
      <c r="J253" s="158"/>
      <c r="K253" s="158"/>
      <c r="L253" s="158"/>
      <c r="M253" s="158"/>
    </row>
    <row r="254" spans="1:13" ht="15.75" x14ac:dyDescent="0.25">
      <c r="A254" s="158"/>
      <c r="B254" s="158"/>
      <c r="C254" s="158"/>
      <c r="D254" s="158"/>
      <c r="E254" s="158"/>
      <c r="F254" s="158"/>
      <c r="G254" s="158"/>
      <c r="H254" s="158"/>
      <c r="I254" s="158"/>
      <c r="J254" s="158"/>
      <c r="K254" s="158"/>
      <c r="L254" s="158"/>
      <c r="M254" s="158"/>
    </row>
    <row r="255" spans="1:13" ht="15.75" x14ac:dyDescent="0.25">
      <c r="A255" s="158"/>
      <c r="B255" s="158"/>
      <c r="C255" s="158"/>
      <c r="D255" s="158"/>
      <c r="E255" s="158"/>
      <c r="F255" s="158"/>
      <c r="G255" s="158"/>
      <c r="H255" s="158"/>
      <c r="I255" s="158"/>
      <c r="J255" s="158"/>
      <c r="K255" s="158"/>
      <c r="L255" s="158"/>
      <c r="M255" s="158"/>
    </row>
    <row r="256" spans="1:13" ht="15.75" x14ac:dyDescent="0.25">
      <c r="A256" s="158"/>
      <c r="B256" s="158"/>
      <c r="C256" s="158"/>
      <c r="D256" s="158"/>
      <c r="E256" s="158"/>
      <c r="F256" s="158"/>
      <c r="G256" s="158"/>
      <c r="H256" s="158"/>
      <c r="I256" s="158"/>
      <c r="J256" s="158"/>
      <c r="K256" s="158"/>
      <c r="L256" s="158"/>
      <c r="M256" s="158"/>
    </row>
    <row r="257" spans="1:13" ht="15.75" x14ac:dyDescent="0.25">
      <c r="A257" s="158"/>
      <c r="B257" s="158"/>
      <c r="C257" s="158"/>
      <c r="D257" s="158"/>
      <c r="E257" s="158"/>
      <c r="F257" s="158"/>
      <c r="G257" s="158"/>
      <c r="H257" s="158"/>
      <c r="I257" s="158"/>
      <c r="J257" s="158"/>
      <c r="K257" s="158"/>
      <c r="L257" s="158"/>
      <c r="M257" s="158"/>
    </row>
    <row r="258" spans="1:13" ht="15.75" x14ac:dyDescent="0.25">
      <c r="A258" s="158"/>
      <c r="B258" s="158"/>
      <c r="C258" s="158"/>
      <c r="D258" s="158"/>
      <c r="E258" s="158"/>
      <c r="F258" s="158"/>
      <c r="G258" s="158"/>
      <c r="H258" s="158"/>
      <c r="I258" s="158"/>
      <c r="J258" s="158"/>
      <c r="K258" s="158"/>
      <c r="L258" s="158"/>
      <c r="M258" s="158"/>
    </row>
    <row r="259" spans="1:13" ht="15.75" x14ac:dyDescent="0.25">
      <c r="A259" s="158"/>
      <c r="B259" s="158"/>
      <c r="C259" s="158"/>
      <c r="D259" s="158"/>
      <c r="E259" s="158"/>
      <c r="F259" s="158"/>
      <c r="G259" s="158"/>
      <c r="H259" s="158"/>
      <c r="I259" s="158"/>
      <c r="J259" s="158"/>
      <c r="K259" s="158"/>
      <c r="L259" s="158"/>
      <c r="M259" s="158"/>
    </row>
    <row r="260" spans="1:13" ht="15.75" x14ac:dyDescent="0.25">
      <c r="A260" s="158"/>
      <c r="B260" s="158"/>
      <c r="C260" s="158"/>
      <c r="D260" s="158"/>
      <c r="E260" s="158"/>
      <c r="F260" s="158"/>
      <c r="G260" s="158"/>
      <c r="H260" s="158"/>
      <c r="I260" s="158"/>
      <c r="J260" s="158"/>
      <c r="K260" s="158"/>
      <c r="L260" s="158"/>
      <c r="M260" s="158"/>
    </row>
    <row r="261" spans="1:13" ht="15.75" x14ac:dyDescent="0.25">
      <c r="A261" s="158"/>
      <c r="B261" s="158"/>
      <c r="C261" s="158"/>
      <c r="D261" s="158"/>
      <c r="E261" s="158"/>
      <c r="F261" s="158"/>
      <c r="G261" s="158"/>
      <c r="H261" s="158"/>
      <c r="I261" s="158"/>
      <c r="J261" s="158"/>
      <c r="K261" s="158"/>
      <c r="L261" s="158"/>
      <c r="M261" s="158"/>
    </row>
    <row r="262" spans="1:13" ht="15.75" x14ac:dyDescent="0.25">
      <c r="A262" s="158"/>
      <c r="B262" s="158"/>
      <c r="C262" s="158"/>
      <c r="D262" s="158"/>
      <c r="E262" s="158"/>
      <c r="F262" s="158"/>
      <c r="G262" s="158"/>
      <c r="H262" s="158"/>
      <c r="I262" s="158"/>
      <c r="J262" s="158"/>
      <c r="K262" s="158"/>
      <c r="L262" s="158"/>
      <c r="M262" s="158"/>
    </row>
    <row r="263" spans="1:13" ht="15.75" x14ac:dyDescent="0.25">
      <c r="A263" s="158"/>
      <c r="B263" s="158"/>
      <c r="C263" s="158"/>
      <c r="D263" s="158"/>
      <c r="E263" s="158"/>
      <c r="F263" s="158"/>
      <c r="G263" s="158"/>
      <c r="H263" s="158"/>
      <c r="I263" s="158"/>
      <c r="J263" s="158"/>
      <c r="K263" s="158"/>
      <c r="L263" s="158"/>
      <c r="M263" s="158"/>
    </row>
    <row r="264" spans="1:13" ht="15.75" x14ac:dyDescent="0.25">
      <c r="A264" s="158"/>
      <c r="B264" s="158"/>
      <c r="C264" s="158"/>
      <c r="D264" s="158"/>
      <c r="E264" s="158"/>
      <c r="F264" s="158"/>
      <c r="G264" s="158"/>
      <c r="H264" s="158"/>
      <c r="I264" s="158"/>
      <c r="J264" s="158"/>
      <c r="K264" s="158"/>
      <c r="L264" s="158"/>
      <c r="M264" s="158"/>
    </row>
    <row r="265" spans="1:13" ht="15.75" x14ac:dyDescent="0.25">
      <c r="A265" s="158"/>
      <c r="B265" s="158"/>
      <c r="C265" s="158"/>
      <c r="D265" s="158"/>
      <c r="E265" s="158"/>
      <c r="F265" s="158"/>
      <c r="G265" s="158"/>
      <c r="H265" s="158"/>
      <c r="I265" s="158"/>
      <c r="J265" s="158"/>
      <c r="K265" s="158"/>
      <c r="L265" s="158"/>
      <c r="M265" s="158"/>
    </row>
    <row r="266" spans="1:13" ht="15.75" x14ac:dyDescent="0.25">
      <c r="A266" s="158"/>
      <c r="B266" s="158"/>
      <c r="C266" s="158"/>
      <c r="D266" s="158"/>
      <c r="E266" s="158"/>
      <c r="F266" s="158"/>
      <c r="G266" s="158"/>
      <c r="H266" s="158"/>
      <c r="I266" s="158"/>
      <c r="J266" s="158"/>
      <c r="K266" s="158"/>
      <c r="L266" s="158"/>
      <c r="M266" s="158"/>
    </row>
    <row r="267" spans="1:13" ht="15.75" x14ac:dyDescent="0.25">
      <c r="A267" s="158"/>
      <c r="B267" s="158"/>
      <c r="C267" s="158"/>
      <c r="D267" s="158"/>
      <c r="E267" s="158"/>
      <c r="F267" s="158"/>
      <c r="G267" s="158"/>
      <c r="H267" s="158"/>
      <c r="I267" s="158"/>
      <c r="J267" s="158"/>
      <c r="K267" s="158"/>
      <c r="L267" s="158"/>
      <c r="M267" s="158"/>
    </row>
    <row r="268" spans="1:13" ht="15.75" x14ac:dyDescent="0.25">
      <c r="A268" s="158"/>
      <c r="B268" s="158"/>
      <c r="C268" s="158"/>
      <c r="D268" s="158"/>
      <c r="E268" s="158"/>
      <c r="F268" s="158"/>
      <c r="G268" s="158"/>
      <c r="H268" s="158"/>
      <c r="I268" s="158"/>
      <c r="J268" s="158"/>
      <c r="K268" s="158"/>
      <c r="L268" s="158"/>
      <c r="M268" s="158"/>
    </row>
    <row r="269" spans="1:13" ht="15.75" x14ac:dyDescent="0.25">
      <c r="A269" s="158"/>
      <c r="B269" s="158"/>
      <c r="C269" s="158"/>
      <c r="D269" s="158"/>
      <c r="E269" s="158"/>
      <c r="F269" s="158"/>
      <c r="G269" s="158"/>
      <c r="H269" s="158"/>
      <c r="I269" s="158"/>
      <c r="J269" s="158"/>
      <c r="K269" s="158"/>
      <c r="L269" s="158"/>
      <c r="M269" s="158"/>
    </row>
    <row r="270" spans="1:13" ht="15.75" x14ac:dyDescent="0.25">
      <c r="A270" s="158"/>
      <c r="B270" s="158"/>
      <c r="C270" s="158"/>
      <c r="D270" s="158"/>
      <c r="E270" s="158"/>
      <c r="F270" s="158"/>
      <c r="G270" s="158"/>
      <c r="H270" s="158"/>
      <c r="I270" s="158"/>
      <c r="J270" s="158"/>
      <c r="K270" s="158"/>
      <c r="L270" s="158"/>
      <c r="M270" s="158"/>
    </row>
    <row r="271" spans="1:13" ht="15.75" x14ac:dyDescent="0.25">
      <c r="A271" s="158"/>
      <c r="B271" s="158"/>
      <c r="C271" s="158"/>
      <c r="D271" s="158"/>
      <c r="E271" s="158"/>
      <c r="F271" s="158"/>
      <c r="G271" s="158"/>
      <c r="H271" s="158"/>
      <c r="I271" s="158"/>
      <c r="J271" s="158"/>
      <c r="K271" s="158"/>
      <c r="L271" s="158"/>
      <c r="M271" s="158"/>
    </row>
    <row r="272" spans="1:13" ht="15.75" x14ac:dyDescent="0.25">
      <c r="A272" s="158"/>
      <c r="B272" s="158"/>
      <c r="C272" s="158"/>
      <c r="D272" s="158"/>
      <c r="E272" s="158"/>
      <c r="F272" s="158"/>
      <c r="G272" s="158"/>
      <c r="H272" s="158"/>
      <c r="I272" s="158"/>
      <c r="J272" s="158"/>
      <c r="K272" s="158"/>
      <c r="L272" s="158"/>
      <c r="M272" s="158"/>
    </row>
    <row r="273" spans="1:13" ht="15.75" x14ac:dyDescent="0.25">
      <c r="A273" s="158"/>
      <c r="B273" s="158"/>
      <c r="C273" s="158"/>
      <c r="D273" s="158"/>
      <c r="E273" s="158"/>
      <c r="F273" s="158"/>
      <c r="G273" s="158"/>
      <c r="H273" s="158"/>
      <c r="I273" s="158"/>
      <c r="J273" s="158"/>
      <c r="K273" s="158"/>
      <c r="L273" s="158"/>
      <c r="M273" s="158"/>
    </row>
    <row r="274" spans="1:13" ht="15.75" x14ac:dyDescent="0.25">
      <c r="A274" s="158"/>
      <c r="B274" s="158"/>
      <c r="C274" s="158"/>
      <c r="D274" s="158"/>
      <c r="E274" s="158"/>
      <c r="F274" s="158"/>
      <c r="G274" s="158"/>
      <c r="H274" s="158"/>
      <c r="I274" s="158"/>
      <c r="J274" s="158"/>
      <c r="K274" s="158"/>
      <c r="L274" s="158"/>
      <c r="M274" s="158"/>
    </row>
    <row r="275" spans="1:13" ht="15.75" x14ac:dyDescent="0.25">
      <c r="A275" s="158"/>
      <c r="B275" s="158"/>
      <c r="C275" s="158"/>
      <c r="D275" s="158"/>
      <c r="E275" s="158"/>
      <c r="F275" s="158"/>
      <c r="G275" s="158"/>
      <c r="H275" s="158"/>
      <c r="I275" s="158"/>
      <c r="J275" s="158"/>
      <c r="K275" s="158"/>
      <c r="L275" s="158"/>
      <c r="M275" s="158"/>
    </row>
    <row r="276" spans="1:13" ht="15.75" x14ac:dyDescent="0.25">
      <c r="A276" s="158"/>
      <c r="B276" s="158"/>
      <c r="C276" s="158"/>
      <c r="D276" s="158"/>
      <c r="E276" s="158"/>
      <c r="F276" s="158"/>
      <c r="G276" s="158"/>
      <c r="H276" s="158"/>
      <c r="I276" s="158"/>
      <c r="J276" s="158"/>
      <c r="K276" s="158"/>
      <c r="L276" s="158"/>
      <c r="M276" s="158"/>
    </row>
    <row r="277" spans="1:13" ht="15.75" x14ac:dyDescent="0.25">
      <c r="A277" s="158"/>
      <c r="B277" s="158"/>
      <c r="C277" s="158"/>
      <c r="D277" s="158"/>
      <c r="E277" s="158"/>
      <c r="F277" s="158"/>
      <c r="G277" s="158"/>
      <c r="H277" s="158"/>
      <c r="I277" s="158"/>
      <c r="J277" s="158"/>
      <c r="K277" s="158"/>
      <c r="L277" s="158"/>
      <c r="M277" s="158"/>
    </row>
    <row r="278" spans="1:13" ht="15.75" x14ac:dyDescent="0.25">
      <c r="A278" s="158"/>
      <c r="B278" s="158"/>
      <c r="C278" s="158"/>
      <c r="D278" s="158"/>
      <c r="E278" s="158"/>
      <c r="F278" s="158"/>
      <c r="G278" s="158"/>
      <c r="H278" s="158"/>
      <c r="I278" s="158"/>
      <c r="J278" s="158"/>
      <c r="K278" s="158"/>
      <c r="L278" s="158"/>
      <c r="M278" s="158"/>
    </row>
    <row r="279" spans="1:13" ht="15.75" x14ac:dyDescent="0.25">
      <c r="A279" s="158"/>
      <c r="B279" s="158"/>
      <c r="C279" s="158"/>
      <c r="D279" s="158"/>
      <c r="E279" s="158"/>
      <c r="F279" s="158"/>
      <c r="G279" s="158"/>
      <c r="H279" s="158"/>
      <c r="I279" s="158"/>
      <c r="J279" s="158"/>
      <c r="K279" s="158"/>
      <c r="L279" s="158"/>
      <c r="M279" s="158"/>
    </row>
    <row r="280" spans="1:13" ht="15.75" x14ac:dyDescent="0.25">
      <c r="A280" s="158"/>
      <c r="B280" s="158"/>
      <c r="C280" s="158"/>
      <c r="D280" s="158"/>
      <c r="E280" s="158"/>
      <c r="F280" s="158"/>
      <c r="G280" s="158"/>
      <c r="H280" s="158"/>
      <c r="I280" s="158"/>
      <c r="J280" s="158"/>
      <c r="K280" s="158"/>
      <c r="L280" s="158"/>
      <c r="M280" s="158"/>
    </row>
    <row r="281" spans="1:13" ht="15.75" x14ac:dyDescent="0.25">
      <c r="A281" s="158"/>
      <c r="B281" s="158"/>
      <c r="C281" s="158"/>
      <c r="D281" s="158"/>
      <c r="E281" s="158"/>
      <c r="F281" s="158"/>
      <c r="G281" s="158"/>
      <c r="H281" s="158"/>
      <c r="I281" s="158"/>
      <c r="J281" s="158"/>
      <c r="K281" s="158"/>
      <c r="L281" s="158"/>
      <c r="M281" s="158"/>
    </row>
    <row r="282" spans="1:13" ht="15.75" x14ac:dyDescent="0.25">
      <c r="A282" s="158"/>
      <c r="B282" s="158"/>
      <c r="C282" s="158"/>
      <c r="D282" s="158"/>
      <c r="E282" s="158"/>
      <c r="F282" s="158"/>
      <c r="G282" s="158"/>
      <c r="H282" s="158"/>
      <c r="I282" s="158"/>
      <c r="J282" s="158"/>
      <c r="K282" s="158"/>
      <c r="L282" s="158"/>
      <c r="M282" s="158"/>
    </row>
    <row r="283" spans="1:13" ht="15.75" x14ac:dyDescent="0.25">
      <c r="A283" s="158"/>
      <c r="B283" s="158"/>
      <c r="C283" s="158"/>
      <c r="D283" s="158"/>
      <c r="E283" s="158"/>
      <c r="F283" s="158"/>
      <c r="G283" s="158"/>
      <c r="H283" s="158"/>
      <c r="I283" s="158"/>
      <c r="J283" s="158"/>
      <c r="K283" s="158"/>
      <c r="L283" s="158"/>
      <c r="M283" s="158"/>
    </row>
    <row r="284" spans="1:13" ht="15.75" x14ac:dyDescent="0.25">
      <c r="A284" s="158"/>
      <c r="B284" s="158"/>
      <c r="C284" s="158"/>
      <c r="D284" s="158"/>
      <c r="E284" s="158"/>
      <c r="F284" s="158"/>
      <c r="G284" s="158"/>
      <c r="H284" s="158"/>
      <c r="I284" s="158"/>
      <c r="J284" s="158"/>
      <c r="K284" s="158"/>
      <c r="L284" s="158"/>
      <c r="M284" s="158"/>
    </row>
    <row r="285" spans="1:13" ht="15.75" x14ac:dyDescent="0.25">
      <c r="A285" s="158"/>
      <c r="B285" s="158"/>
      <c r="C285" s="158"/>
      <c r="D285" s="158"/>
      <c r="E285" s="158"/>
      <c r="F285" s="158"/>
      <c r="G285" s="158"/>
      <c r="H285" s="158"/>
      <c r="I285" s="158"/>
      <c r="J285" s="158"/>
      <c r="K285" s="158"/>
      <c r="L285" s="158"/>
      <c r="M285" s="158"/>
    </row>
    <row r="286" spans="1:13" ht="15.75" x14ac:dyDescent="0.25">
      <c r="A286" s="158"/>
      <c r="B286" s="158"/>
      <c r="C286" s="158"/>
      <c r="D286" s="158"/>
      <c r="E286" s="158"/>
      <c r="F286" s="158"/>
      <c r="G286" s="158"/>
      <c r="H286" s="158"/>
      <c r="I286" s="158"/>
      <c r="J286" s="158"/>
      <c r="K286" s="158"/>
      <c r="L286" s="158"/>
      <c r="M286" s="158"/>
    </row>
    <row r="287" spans="1:13" ht="15.75" x14ac:dyDescent="0.25">
      <c r="A287" s="158"/>
      <c r="B287" s="158"/>
      <c r="C287" s="158"/>
      <c r="D287" s="158"/>
      <c r="E287" s="158"/>
      <c r="F287" s="158"/>
      <c r="G287" s="158"/>
      <c r="H287" s="158"/>
      <c r="I287" s="158"/>
      <c r="J287" s="158"/>
      <c r="K287" s="158"/>
      <c r="L287" s="158"/>
      <c r="M287" s="158"/>
    </row>
    <row r="288" spans="1:13" ht="15.75" x14ac:dyDescent="0.25">
      <c r="A288" s="158"/>
      <c r="B288" s="158"/>
      <c r="C288" s="158"/>
      <c r="D288" s="158"/>
      <c r="E288" s="158"/>
      <c r="F288" s="158"/>
      <c r="G288" s="158"/>
      <c r="H288" s="158"/>
      <c r="I288" s="158"/>
      <c r="J288" s="158"/>
      <c r="K288" s="158"/>
      <c r="L288" s="158"/>
      <c r="M288" s="158"/>
    </row>
    <row r="289" spans="1:13" ht="15.75" x14ac:dyDescent="0.25">
      <c r="A289" s="158"/>
      <c r="B289" s="158"/>
      <c r="C289" s="158"/>
      <c r="D289" s="158"/>
      <c r="E289" s="158"/>
      <c r="F289" s="158"/>
      <c r="G289" s="158"/>
      <c r="H289" s="158"/>
      <c r="I289" s="158"/>
      <c r="J289" s="158"/>
      <c r="K289" s="158"/>
      <c r="L289" s="158"/>
      <c r="M289" s="158"/>
    </row>
    <row r="290" spans="1:13" ht="15.75" x14ac:dyDescent="0.25">
      <c r="A290" s="158"/>
      <c r="B290" s="158"/>
      <c r="C290" s="158"/>
      <c r="D290" s="158"/>
      <c r="E290" s="158"/>
      <c r="F290" s="158"/>
      <c r="G290" s="158"/>
      <c r="H290" s="158"/>
      <c r="I290" s="158"/>
      <c r="J290" s="158"/>
      <c r="K290" s="158"/>
      <c r="L290" s="158"/>
      <c r="M290" s="158"/>
    </row>
    <row r="291" spans="1:13" ht="15.75" x14ac:dyDescent="0.25">
      <c r="A291" s="158"/>
      <c r="B291" s="158"/>
      <c r="C291" s="158"/>
      <c r="D291" s="158"/>
      <c r="E291" s="158"/>
      <c r="F291" s="158"/>
      <c r="G291" s="158"/>
      <c r="H291" s="158"/>
      <c r="I291" s="158"/>
      <c r="J291" s="158"/>
      <c r="K291" s="158"/>
      <c r="L291" s="158"/>
      <c r="M291" s="158"/>
    </row>
    <row r="292" spans="1:13" ht="15.75" x14ac:dyDescent="0.25">
      <c r="A292" s="158"/>
      <c r="B292" s="158"/>
      <c r="C292" s="158"/>
      <c r="D292" s="158"/>
      <c r="E292" s="158"/>
      <c r="F292" s="158"/>
      <c r="G292" s="158"/>
      <c r="H292" s="158"/>
      <c r="I292" s="158"/>
      <c r="J292" s="158"/>
      <c r="K292" s="158"/>
      <c r="L292" s="158"/>
      <c r="M292" s="158"/>
    </row>
    <row r="293" spans="1:13" ht="15.75" x14ac:dyDescent="0.25">
      <c r="A293" s="158"/>
      <c r="B293" s="158"/>
      <c r="C293" s="158"/>
      <c r="D293" s="158"/>
      <c r="E293" s="158"/>
      <c r="F293" s="158"/>
      <c r="G293" s="158"/>
      <c r="H293" s="158"/>
      <c r="I293" s="158"/>
      <c r="J293" s="158"/>
      <c r="K293" s="158"/>
      <c r="L293" s="158"/>
      <c r="M293" s="158"/>
    </row>
    <row r="294" spans="1:13" ht="15.75" x14ac:dyDescent="0.25">
      <c r="A294" s="158"/>
      <c r="B294" s="158"/>
      <c r="C294" s="158"/>
      <c r="D294" s="158"/>
      <c r="E294" s="158"/>
      <c r="F294" s="158"/>
      <c r="G294" s="158"/>
      <c r="H294" s="158"/>
      <c r="I294" s="158"/>
      <c r="J294" s="158"/>
      <c r="K294" s="158"/>
      <c r="L294" s="158"/>
      <c r="M294" s="158"/>
    </row>
    <row r="295" spans="1:13" ht="15.75" x14ac:dyDescent="0.25">
      <c r="A295" s="158"/>
      <c r="B295" s="158"/>
      <c r="C295" s="158"/>
      <c r="D295" s="158"/>
      <c r="E295" s="158"/>
      <c r="F295" s="158"/>
      <c r="G295" s="158"/>
      <c r="H295" s="158"/>
      <c r="I295" s="158"/>
      <c r="J295" s="158"/>
      <c r="K295" s="158"/>
      <c r="L295" s="158"/>
      <c r="M295" s="158"/>
    </row>
    <row r="296" spans="1:13" ht="15.75" x14ac:dyDescent="0.25">
      <c r="A296" s="158"/>
      <c r="B296" s="158"/>
      <c r="C296" s="158"/>
      <c r="D296" s="158"/>
      <c r="E296" s="158"/>
      <c r="F296" s="158"/>
      <c r="G296" s="158"/>
      <c r="H296" s="158"/>
      <c r="I296" s="158"/>
      <c r="J296" s="158"/>
      <c r="K296" s="158"/>
      <c r="L296" s="158"/>
      <c r="M296" s="158"/>
    </row>
    <row r="297" spans="1:13" ht="15.75" x14ac:dyDescent="0.25">
      <c r="A297" s="158"/>
      <c r="B297" s="158"/>
      <c r="C297" s="158"/>
      <c r="D297" s="158"/>
      <c r="E297" s="158"/>
      <c r="F297" s="158"/>
      <c r="G297" s="158"/>
      <c r="H297" s="158"/>
      <c r="I297" s="158"/>
      <c r="J297" s="158"/>
      <c r="K297" s="158"/>
      <c r="L297" s="158"/>
      <c r="M297" s="158"/>
    </row>
    <row r="298" spans="1:13" ht="15.75" x14ac:dyDescent="0.25">
      <c r="A298" s="158"/>
      <c r="B298" s="158"/>
      <c r="C298" s="158"/>
      <c r="D298" s="158"/>
      <c r="E298" s="158"/>
      <c r="F298" s="158"/>
      <c r="G298" s="158"/>
      <c r="H298" s="158"/>
      <c r="I298" s="158"/>
      <c r="J298" s="158"/>
      <c r="K298" s="158"/>
      <c r="L298" s="158"/>
      <c r="M298" s="158"/>
    </row>
    <row r="299" spans="1:13" ht="15.75" x14ac:dyDescent="0.25">
      <c r="A299" s="158"/>
      <c r="B299" s="158"/>
      <c r="C299" s="158"/>
      <c r="D299" s="158"/>
      <c r="E299" s="158"/>
      <c r="F299" s="158"/>
      <c r="G299" s="158"/>
      <c r="H299" s="158"/>
      <c r="I299" s="158"/>
      <c r="J299" s="158"/>
      <c r="K299" s="158"/>
      <c r="L299" s="158"/>
      <c r="M299" s="158"/>
    </row>
    <row r="300" spans="1:13" ht="15.75" x14ac:dyDescent="0.25">
      <c r="A300" s="158"/>
      <c r="B300" s="158"/>
      <c r="C300" s="158"/>
      <c r="D300" s="158"/>
      <c r="E300" s="158"/>
      <c r="F300" s="158"/>
      <c r="G300" s="158"/>
      <c r="H300" s="158"/>
      <c r="I300" s="158"/>
      <c r="J300" s="158"/>
      <c r="K300" s="158"/>
      <c r="L300" s="158"/>
      <c r="M300" s="158"/>
    </row>
    <row r="301" spans="1:13" ht="15.75" x14ac:dyDescent="0.25">
      <c r="A301" s="158"/>
      <c r="B301" s="158"/>
      <c r="C301" s="158"/>
      <c r="D301" s="158"/>
      <c r="E301" s="158"/>
      <c r="F301" s="158"/>
      <c r="G301" s="158"/>
      <c r="H301" s="158"/>
      <c r="I301" s="158"/>
      <c r="J301" s="158"/>
      <c r="K301" s="158"/>
      <c r="L301" s="158"/>
      <c r="M301" s="158"/>
    </row>
    <row r="302" spans="1:13" ht="15.75" x14ac:dyDescent="0.25">
      <c r="A302" s="158"/>
      <c r="B302" s="158"/>
      <c r="C302" s="158"/>
      <c r="D302" s="158"/>
      <c r="E302" s="158"/>
      <c r="F302" s="158"/>
      <c r="G302" s="158"/>
      <c r="H302" s="158"/>
      <c r="I302" s="158"/>
      <c r="J302" s="158"/>
      <c r="K302" s="158"/>
      <c r="L302" s="158"/>
      <c r="M302" s="158"/>
    </row>
    <row r="303" spans="1:13" ht="15.75" x14ac:dyDescent="0.25">
      <c r="A303" s="158"/>
      <c r="B303" s="158"/>
      <c r="C303" s="158"/>
      <c r="D303" s="158"/>
      <c r="E303" s="158"/>
      <c r="F303" s="158"/>
      <c r="G303" s="158"/>
      <c r="H303" s="158"/>
      <c r="I303" s="158"/>
      <c r="J303" s="158"/>
      <c r="K303" s="158"/>
      <c r="L303" s="158"/>
      <c r="M303" s="158"/>
    </row>
    <row r="304" spans="1:13" ht="15.75" x14ac:dyDescent="0.25">
      <c r="A304" s="158"/>
      <c r="B304" s="158"/>
      <c r="C304" s="158"/>
      <c r="D304" s="158"/>
      <c r="E304" s="158"/>
      <c r="F304" s="158"/>
      <c r="G304" s="158"/>
      <c r="H304" s="158"/>
      <c r="I304" s="158"/>
      <c r="J304" s="158"/>
      <c r="K304" s="158"/>
      <c r="L304" s="158"/>
      <c r="M304" s="158"/>
    </row>
    <row r="305" spans="1:13" ht="15.75" x14ac:dyDescent="0.25">
      <c r="A305" s="158"/>
      <c r="B305" s="158"/>
      <c r="C305" s="158"/>
      <c r="D305" s="158"/>
      <c r="E305" s="158"/>
      <c r="F305" s="158"/>
      <c r="G305" s="158"/>
      <c r="H305" s="158"/>
      <c r="I305" s="158"/>
      <c r="J305" s="158"/>
      <c r="K305" s="158"/>
      <c r="L305" s="158"/>
      <c r="M305" s="158"/>
    </row>
    <row r="306" spans="1:13" ht="15.75" x14ac:dyDescent="0.25">
      <c r="A306" s="158"/>
      <c r="B306" s="158"/>
      <c r="C306" s="158"/>
      <c r="D306" s="158"/>
      <c r="E306" s="158"/>
      <c r="F306" s="158"/>
      <c r="G306" s="158"/>
      <c r="H306" s="158"/>
      <c r="I306" s="158"/>
      <c r="J306" s="158"/>
      <c r="K306" s="158"/>
      <c r="L306" s="158"/>
      <c r="M306" s="158"/>
    </row>
    <row r="307" spans="1:13" ht="15.75" x14ac:dyDescent="0.25">
      <c r="A307" s="158"/>
      <c r="B307" s="158"/>
      <c r="C307" s="158"/>
      <c r="D307" s="158"/>
      <c r="E307" s="158"/>
      <c r="F307" s="158"/>
      <c r="G307" s="158"/>
      <c r="H307" s="158"/>
      <c r="I307" s="158"/>
      <c r="J307" s="158"/>
      <c r="K307" s="158"/>
      <c r="L307" s="158"/>
      <c r="M307" s="158"/>
    </row>
    <row r="308" spans="1:13" ht="15.75" x14ac:dyDescent="0.25">
      <c r="A308" s="158"/>
      <c r="B308" s="158"/>
      <c r="C308" s="158"/>
      <c r="D308" s="158"/>
      <c r="E308" s="158"/>
      <c r="F308" s="158"/>
      <c r="G308" s="158"/>
      <c r="H308" s="158"/>
      <c r="I308" s="158"/>
      <c r="J308" s="158"/>
      <c r="K308" s="158"/>
      <c r="L308" s="158"/>
      <c r="M308" s="158"/>
    </row>
    <row r="309" spans="1:13" ht="15.75" x14ac:dyDescent="0.25">
      <c r="A309" s="158"/>
      <c r="B309" s="158"/>
      <c r="C309" s="158"/>
      <c r="D309" s="158"/>
      <c r="E309" s="158"/>
      <c r="F309" s="158"/>
      <c r="G309" s="158"/>
      <c r="H309" s="158"/>
      <c r="I309" s="158"/>
      <c r="J309" s="158"/>
      <c r="K309" s="158"/>
      <c r="L309" s="158"/>
      <c r="M309" s="158"/>
    </row>
    <row r="310" spans="1:13" ht="15.75" x14ac:dyDescent="0.25">
      <c r="A310" s="158"/>
      <c r="B310" s="158"/>
      <c r="C310" s="158"/>
      <c r="D310" s="158"/>
      <c r="E310" s="158"/>
      <c r="F310" s="158"/>
      <c r="G310" s="158"/>
      <c r="H310" s="158"/>
      <c r="I310" s="158"/>
      <c r="J310" s="158"/>
      <c r="K310" s="158"/>
      <c r="L310" s="158"/>
      <c r="M310" s="158"/>
    </row>
    <row r="311" spans="1:13" ht="15.75" x14ac:dyDescent="0.25">
      <c r="A311" s="158"/>
      <c r="B311" s="158"/>
      <c r="C311" s="158"/>
      <c r="D311" s="158"/>
      <c r="E311" s="158"/>
      <c r="F311" s="158"/>
      <c r="G311" s="158"/>
      <c r="H311" s="158"/>
      <c r="I311" s="158"/>
      <c r="J311" s="158"/>
      <c r="K311" s="158"/>
      <c r="L311" s="158"/>
      <c r="M311" s="158"/>
    </row>
    <row r="312" spans="1:13" ht="15.75" x14ac:dyDescent="0.25">
      <c r="A312" s="158"/>
      <c r="B312" s="158"/>
      <c r="C312" s="158"/>
      <c r="D312" s="158"/>
      <c r="E312" s="158"/>
      <c r="F312" s="158"/>
      <c r="G312" s="158"/>
      <c r="H312" s="158"/>
      <c r="I312" s="158"/>
      <c r="J312" s="158"/>
      <c r="K312" s="158"/>
      <c r="L312" s="158"/>
      <c r="M312" s="158"/>
    </row>
  </sheetData>
  <mergeCells count="11">
    <mergeCell ref="A1:E1"/>
    <mergeCell ref="B132:C132"/>
    <mergeCell ref="D132:E132"/>
    <mergeCell ref="B133:C133"/>
    <mergeCell ref="D133:E133"/>
    <mergeCell ref="B129:C129"/>
    <mergeCell ref="D129:E129"/>
    <mergeCell ref="B130:C130"/>
    <mergeCell ref="D130:E130"/>
    <mergeCell ref="B131:C131"/>
    <mergeCell ref="D131:E131"/>
  </mergeCells>
  <conditionalFormatting sqref="D24:G123">
    <cfRule type="colorScale" priority="1">
      <colorScale>
        <cfvo type="min"/>
        <cfvo type="percentile" val="50"/>
        <cfvo type="max"/>
        <color rgb="FFFECACA"/>
        <color rgb="FFFEF3C7"/>
        <color rgb="FFBBF7D0"/>
      </colorScale>
    </cfRule>
  </conditionalFormatting>
  <dataValidations count="4">
    <dataValidation type="whole" errorStyle="warning" allowBlank="1" showErrorMessage="1" errorTitle="Note attendue" error="Saisir une note entière de 1 à 5." sqref="D24:G123" xr:uid="{143B1038-9077-4796-95E6-AB0525776E64}">
      <formula1>1</formula1>
      <formula2>5</formula2>
    </dataValidation>
    <dataValidation type="list" allowBlank="1" sqref="I24:I123" xr:uid="{EA1EB720-B5CA-4F2C-83D8-54B1D2E15E01}">
      <formula1>"Oui,Non,Peut-être"</formula1>
    </dataValidation>
    <dataValidation type="list" allowBlank="1" sqref="H24:H123" xr:uid="{312F68FD-9207-4D64-9BAA-2EC7A32F8508}">
      <formula1>"Oui,Non"</formula1>
    </dataValidation>
    <dataValidation type="list" allowBlank="1" sqref="C24:C123" xr:uid="{5985100F-0CF9-4386-A517-A49B96BEA83D}">
      <formula1>"Maternelle,Primaire,Collège,Lycée,Autre"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384C0-7C22-4F93-BD25-E3F4E6A33534}">
  <sheetPr codeName="Feuil16"/>
  <dimension ref="A1:G39"/>
  <sheetViews>
    <sheetView showGridLines="0" workbookViewId="0">
      <selection activeCell="A3" sqref="A3"/>
    </sheetView>
  </sheetViews>
  <sheetFormatPr baseColWidth="10" defaultColWidth="9.140625" defaultRowHeight="15" x14ac:dyDescent="0.25"/>
  <cols>
    <col min="1" max="1" width="21.5703125" style="99" customWidth="1"/>
    <col min="2" max="2" width="38" style="99" customWidth="1"/>
    <col min="3" max="3" width="36" style="99" customWidth="1"/>
    <col min="4" max="4" width="30" style="99" customWidth="1"/>
    <col min="5" max="5" width="42" style="99" customWidth="1"/>
    <col min="6" max="6" width="24" style="99" customWidth="1"/>
    <col min="7" max="16384" width="9.140625" style="99"/>
  </cols>
  <sheetData>
    <row r="1" spans="1:7" ht="30.95" customHeight="1" x14ac:dyDescent="0.25">
      <c r="A1" s="806" t="s">
        <v>3021</v>
      </c>
      <c r="B1" s="806"/>
      <c r="C1" s="806"/>
      <c r="D1" s="806"/>
      <c r="E1" s="806"/>
      <c r="F1" s="806"/>
    </row>
    <row r="2" spans="1:7" ht="24" customHeight="1" x14ac:dyDescent="0.25">
      <c r="A2" s="807" t="s">
        <v>3022</v>
      </c>
      <c r="B2" s="807"/>
      <c r="C2" s="807"/>
      <c r="D2" s="807"/>
      <c r="E2" s="807"/>
      <c r="F2" s="807"/>
      <c r="G2" s="768" t="s">
        <v>4701</v>
      </c>
    </row>
    <row r="3" spans="1:7" ht="15.75" x14ac:dyDescent="0.25">
      <c r="A3" s="98" t="s">
        <v>5193</v>
      </c>
    </row>
    <row r="4" spans="1:7" ht="15.75" x14ac:dyDescent="0.25">
      <c r="A4" s="808" t="s">
        <v>3023</v>
      </c>
      <c r="B4" s="808"/>
      <c r="C4" s="808"/>
      <c r="D4" s="808"/>
      <c r="E4" s="808"/>
      <c r="F4" s="808"/>
    </row>
    <row r="5" spans="1:7" ht="36" customHeight="1" x14ac:dyDescent="0.25">
      <c r="A5" s="159" t="s">
        <v>2832</v>
      </c>
      <c r="B5" s="159" t="s">
        <v>3024</v>
      </c>
      <c r="C5" s="159" t="s">
        <v>2833</v>
      </c>
      <c r="D5" s="160" t="s">
        <v>3025</v>
      </c>
      <c r="E5" s="219" t="s">
        <v>2835</v>
      </c>
      <c r="F5" s="159" t="s">
        <v>3026</v>
      </c>
    </row>
    <row r="6" spans="1:7" ht="50.1" customHeight="1" x14ac:dyDescent="0.25">
      <c r="A6" s="161">
        <v>1</v>
      </c>
      <c r="B6" s="162" t="s">
        <v>3027</v>
      </c>
      <c r="C6" s="162" t="s">
        <v>2880</v>
      </c>
      <c r="D6" s="163">
        <v>46138</v>
      </c>
      <c r="E6" s="162" t="s">
        <v>3028</v>
      </c>
      <c r="F6" s="164" t="s">
        <v>1053</v>
      </c>
    </row>
    <row r="7" spans="1:7" ht="50.1" customHeight="1" x14ac:dyDescent="0.25">
      <c r="A7" s="161">
        <v>2</v>
      </c>
      <c r="B7" s="162" t="s">
        <v>3029</v>
      </c>
      <c r="C7" s="162" t="s">
        <v>3030</v>
      </c>
      <c r="D7" s="165"/>
      <c r="E7" s="162" t="s">
        <v>3031</v>
      </c>
      <c r="F7" s="164" t="s">
        <v>1008</v>
      </c>
    </row>
    <row r="8" spans="1:7" ht="50.1" customHeight="1" x14ac:dyDescent="0.25">
      <c r="A8" s="161">
        <v>3</v>
      </c>
      <c r="B8" s="162" t="s">
        <v>3032</v>
      </c>
      <c r="C8" s="162" t="s">
        <v>3033</v>
      </c>
      <c r="D8" s="165"/>
      <c r="E8" s="162" t="s">
        <v>3034</v>
      </c>
      <c r="F8" s="164" t="s">
        <v>3035</v>
      </c>
    </row>
    <row r="9" spans="1:7" ht="50.1" customHeight="1" x14ac:dyDescent="0.25">
      <c r="A9" s="161">
        <v>4</v>
      </c>
      <c r="B9" s="162" t="s">
        <v>3036</v>
      </c>
      <c r="C9" s="162" t="s">
        <v>3037</v>
      </c>
      <c r="D9" s="165"/>
      <c r="E9" s="162" t="s">
        <v>3038</v>
      </c>
      <c r="F9" s="164" t="s">
        <v>3039</v>
      </c>
    </row>
    <row r="10" spans="1:7" ht="50.1" customHeight="1" x14ac:dyDescent="0.25">
      <c r="A10" s="161">
        <v>5</v>
      </c>
      <c r="B10" s="162" t="s">
        <v>3040</v>
      </c>
      <c r="C10" s="162" t="s">
        <v>3041</v>
      </c>
      <c r="D10" s="165"/>
      <c r="E10" s="162" t="s">
        <v>3042</v>
      </c>
      <c r="F10" s="164" t="s">
        <v>3043</v>
      </c>
    </row>
    <row r="11" spans="1:7" ht="50.1" customHeight="1" x14ac:dyDescent="0.25">
      <c r="A11" s="161">
        <v>6</v>
      </c>
      <c r="B11" s="162" t="s">
        <v>3044</v>
      </c>
      <c r="C11" s="162" t="s">
        <v>3045</v>
      </c>
      <c r="D11" s="165"/>
      <c r="E11" s="162" t="s">
        <v>3046</v>
      </c>
      <c r="F11" s="164" t="s">
        <v>3047</v>
      </c>
    </row>
    <row r="12" spans="1:7" ht="50.1" customHeight="1" thickBot="1" x14ac:dyDescent="0.3">
      <c r="A12" s="166">
        <v>7</v>
      </c>
      <c r="B12" s="167" t="s">
        <v>3048</v>
      </c>
      <c r="C12" s="168" t="s">
        <v>2921</v>
      </c>
      <c r="D12" s="169" t="s">
        <v>2921</v>
      </c>
      <c r="E12" s="167" t="s">
        <v>3049</v>
      </c>
      <c r="F12" s="170" t="s">
        <v>3050</v>
      </c>
    </row>
    <row r="13" spans="1:7" ht="50.1" customHeight="1" thickBot="1" x14ac:dyDescent="0.3">
      <c r="A13" s="171" t="s">
        <v>2919</v>
      </c>
      <c r="B13" s="876"/>
      <c r="C13" s="876"/>
      <c r="D13" s="876"/>
      <c r="E13" s="876"/>
      <c r="F13" s="877"/>
    </row>
    <row r="14" spans="1:7" ht="50.1" customHeight="1" thickBot="1" x14ac:dyDescent="0.3">
      <c r="A14" s="172">
        <v>8</v>
      </c>
      <c r="B14" s="173" t="s">
        <v>3051</v>
      </c>
      <c r="C14" s="173" t="s">
        <v>3052</v>
      </c>
      <c r="D14" s="174"/>
      <c r="E14" s="173" t="s">
        <v>3053</v>
      </c>
      <c r="F14" s="175" t="s">
        <v>3054</v>
      </c>
    </row>
    <row r="15" spans="1:7" ht="50.1" customHeight="1" thickBot="1" x14ac:dyDescent="0.3">
      <c r="A15" s="166">
        <v>9</v>
      </c>
      <c r="B15" s="167" t="s">
        <v>3055</v>
      </c>
      <c r="C15" s="168" t="s">
        <v>2921</v>
      </c>
      <c r="D15" s="169" t="s">
        <v>2921</v>
      </c>
      <c r="E15" s="167" t="s">
        <v>3056</v>
      </c>
      <c r="F15" s="170" t="s">
        <v>3057</v>
      </c>
    </row>
    <row r="16" spans="1:7" ht="50.1" customHeight="1" thickBot="1" x14ac:dyDescent="0.3">
      <c r="A16" s="171" t="s">
        <v>2919</v>
      </c>
      <c r="B16" s="876"/>
      <c r="C16" s="876"/>
      <c r="D16" s="876"/>
      <c r="E16" s="876"/>
      <c r="F16" s="877"/>
    </row>
    <row r="17" spans="1:6" ht="50.1" customHeight="1" x14ac:dyDescent="0.25">
      <c r="A17" s="172">
        <v>10</v>
      </c>
      <c r="B17" s="173" t="s">
        <v>3058</v>
      </c>
      <c r="C17" s="173" t="s">
        <v>3059</v>
      </c>
      <c r="D17" s="176"/>
      <c r="E17" s="173" t="s">
        <v>3060</v>
      </c>
      <c r="F17" s="175" t="s">
        <v>3061</v>
      </c>
    </row>
    <row r="18" spans="1:6" ht="50.1" customHeight="1" x14ac:dyDescent="0.25">
      <c r="A18" s="161">
        <v>11</v>
      </c>
      <c r="B18" s="162" t="s">
        <v>3062</v>
      </c>
      <c r="C18" s="162" t="s">
        <v>2839</v>
      </c>
      <c r="D18" s="177"/>
      <c r="E18" s="162" t="s">
        <v>3063</v>
      </c>
      <c r="F18" s="164" t="s">
        <v>2840</v>
      </c>
    </row>
    <row r="19" spans="1:6" ht="50.1" customHeight="1" x14ac:dyDescent="0.25">
      <c r="A19" s="161">
        <v>12</v>
      </c>
      <c r="B19" s="162" t="s">
        <v>3064</v>
      </c>
      <c r="C19" s="162" t="s">
        <v>2839</v>
      </c>
      <c r="D19" s="177"/>
      <c r="E19" s="162" t="s">
        <v>3065</v>
      </c>
      <c r="F19" s="164" t="s">
        <v>2855</v>
      </c>
    </row>
    <row r="20" spans="1:6" ht="50.1" customHeight="1" x14ac:dyDescent="0.25">
      <c r="A20" s="161">
        <v>13</v>
      </c>
      <c r="B20" s="162" t="s">
        <v>3066</v>
      </c>
      <c r="C20" s="162" t="s">
        <v>2839</v>
      </c>
      <c r="D20" s="177"/>
      <c r="E20" s="162" t="s">
        <v>3067</v>
      </c>
      <c r="F20" s="164" t="s">
        <v>979</v>
      </c>
    </row>
    <row r="21" spans="1:6" ht="50.1" customHeight="1" x14ac:dyDescent="0.25">
      <c r="A21" s="161">
        <v>14</v>
      </c>
      <c r="B21" s="162" t="s">
        <v>3068</v>
      </c>
      <c r="C21" s="162" t="s">
        <v>2839</v>
      </c>
      <c r="D21" s="177"/>
      <c r="E21" s="162" t="s">
        <v>3069</v>
      </c>
      <c r="F21" s="164" t="s">
        <v>3070</v>
      </c>
    </row>
    <row r="22" spans="1:6" ht="50.1" customHeight="1" x14ac:dyDescent="0.25">
      <c r="A22" s="161">
        <v>15</v>
      </c>
      <c r="B22" s="162" t="s">
        <v>3071</v>
      </c>
      <c r="C22" s="162" t="s">
        <v>2839</v>
      </c>
      <c r="D22" s="177"/>
      <c r="E22" s="162" t="s">
        <v>3072</v>
      </c>
      <c r="F22" s="164" t="s">
        <v>3073</v>
      </c>
    </row>
    <row r="23" spans="1:6" ht="50.1" customHeight="1" x14ac:dyDescent="0.25">
      <c r="A23" s="161">
        <v>16</v>
      </c>
      <c r="B23" s="162" t="s">
        <v>3074</v>
      </c>
      <c r="C23" s="162" t="s">
        <v>2839</v>
      </c>
      <c r="D23" s="177"/>
      <c r="E23" s="162" t="s">
        <v>3075</v>
      </c>
      <c r="F23" s="164" t="s">
        <v>3076</v>
      </c>
    </row>
    <row r="24" spans="1:6" ht="50.1" customHeight="1" x14ac:dyDescent="0.25">
      <c r="A24" s="161">
        <v>17</v>
      </c>
      <c r="B24" s="162" t="s">
        <v>3077</v>
      </c>
      <c r="C24" s="162" t="s">
        <v>3078</v>
      </c>
      <c r="D24" s="177"/>
      <c r="E24" s="162" t="s">
        <v>3079</v>
      </c>
      <c r="F24" s="164" t="s">
        <v>3080</v>
      </c>
    </row>
    <row r="25" spans="1:6" ht="50.1" customHeight="1" x14ac:dyDescent="0.25">
      <c r="A25" s="161">
        <v>18</v>
      </c>
      <c r="B25" s="162" t="s">
        <v>3081</v>
      </c>
      <c r="C25" s="162" t="s">
        <v>2837</v>
      </c>
      <c r="D25" s="177"/>
      <c r="E25" s="162" t="s">
        <v>3082</v>
      </c>
      <c r="F25" s="164" t="s">
        <v>3083</v>
      </c>
    </row>
    <row r="26" spans="1:6" ht="50.1" customHeight="1" x14ac:dyDescent="0.25">
      <c r="A26" s="161">
        <v>19</v>
      </c>
      <c r="B26" s="162" t="s">
        <v>3084</v>
      </c>
      <c r="C26" s="162" t="s">
        <v>2846</v>
      </c>
      <c r="D26" s="177"/>
      <c r="E26" s="162" t="s">
        <v>3085</v>
      </c>
      <c r="F26" s="164" t="s">
        <v>3086</v>
      </c>
    </row>
    <row r="27" spans="1:6" ht="50.1" customHeight="1" x14ac:dyDescent="0.25">
      <c r="A27" s="161">
        <v>20</v>
      </c>
      <c r="B27" s="162" t="s">
        <v>3087</v>
      </c>
      <c r="C27" s="162" t="s">
        <v>3059</v>
      </c>
      <c r="D27" s="177"/>
      <c r="E27" s="162" t="s">
        <v>3088</v>
      </c>
      <c r="F27" s="164" t="s">
        <v>3089</v>
      </c>
    </row>
    <row r="28" spans="1:6" ht="50.1" customHeight="1" x14ac:dyDescent="0.25">
      <c r="A28" s="161">
        <v>21</v>
      </c>
      <c r="B28" s="162" t="s">
        <v>3090</v>
      </c>
      <c r="C28" s="162" t="s">
        <v>2839</v>
      </c>
      <c r="D28" s="177"/>
      <c r="E28" s="162" t="s">
        <v>3091</v>
      </c>
      <c r="F28" s="164" t="s">
        <v>3092</v>
      </c>
    </row>
    <row r="29" spans="1:6" ht="50.1" customHeight="1" x14ac:dyDescent="0.25">
      <c r="A29" s="161">
        <v>22</v>
      </c>
      <c r="B29" s="162" t="s">
        <v>3093</v>
      </c>
      <c r="C29" s="162" t="s">
        <v>3094</v>
      </c>
      <c r="D29" s="177"/>
      <c r="E29" s="162" t="s">
        <v>3095</v>
      </c>
      <c r="F29" s="164" t="s">
        <v>2575</v>
      </c>
    </row>
    <row r="30" spans="1:6" ht="50.1" customHeight="1" x14ac:dyDescent="0.25">
      <c r="A30" s="161">
        <v>23</v>
      </c>
      <c r="B30" s="162" t="s">
        <v>3096</v>
      </c>
      <c r="C30" s="162" t="s">
        <v>2849</v>
      </c>
      <c r="D30" s="177"/>
      <c r="E30" s="162" t="s">
        <v>3097</v>
      </c>
      <c r="F30" s="164" t="s">
        <v>3098</v>
      </c>
    </row>
    <row r="31" spans="1:6" ht="50.1" customHeight="1" thickBot="1" x14ac:dyDescent="0.3">
      <c r="A31" s="166">
        <v>24</v>
      </c>
      <c r="B31" s="167" t="s">
        <v>3099</v>
      </c>
      <c r="C31" s="178" t="s">
        <v>2921</v>
      </c>
      <c r="D31" s="169" t="s">
        <v>2921</v>
      </c>
      <c r="E31" s="167" t="s">
        <v>3100</v>
      </c>
      <c r="F31" s="170" t="s">
        <v>2522</v>
      </c>
    </row>
    <row r="32" spans="1:6" ht="50.1" customHeight="1" thickBot="1" x14ac:dyDescent="0.3">
      <c r="A32" s="171" t="s">
        <v>2919</v>
      </c>
      <c r="B32" s="876"/>
      <c r="C32" s="876"/>
      <c r="D32" s="876"/>
      <c r="E32" s="876"/>
      <c r="F32" s="877"/>
    </row>
    <row r="33" spans="1:6" ht="15.75" x14ac:dyDescent="0.25">
      <c r="A33" s="158"/>
      <c r="B33" s="158"/>
      <c r="C33" s="158"/>
      <c r="D33" s="158"/>
      <c r="E33" s="158"/>
      <c r="F33" s="158"/>
    </row>
    <row r="34" spans="1:6" ht="15.75" x14ac:dyDescent="0.25">
      <c r="A34" s="878" t="s">
        <v>3101</v>
      </c>
      <c r="B34" s="879"/>
      <c r="C34" s="879"/>
      <c r="D34" s="879"/>
      <c r="E34" s="879"/>
      <c r="F34" s="880"/>
    </row>
    <row r="35" spans="1:6" ht="48" customHeight="1" x14ac:dyDescent="0.25">
      <c r="A35" s="881" t="s">
        <v>3102</v>
      </c>
      <c r="B35" s="882"/>
      <c r="C35" s="882"/>
      <c r="D35" s="882"/>
      <c r="E35" s="882"/>
      <c r="F35" s="883"/>
    </row>
    <row r="36" spans="1:6" ht="15.75" x14ac:dyDescent="0.25">
      <c r="A36" s="884" t="s">
        <v>3103</v>
      </c>
      <c r="B36" s="885"/>
      <c r="C36" s="885"/>
      <c r="D36" s="885"/>
      <c r="E36" s="885"/>
      <c r="F36" s="886"/>
    </row>
    <row r="37" spans="1:6" ht="44.1" customHeight="1" x14ac:dyDescent="0.25">
      <c r="A37" s="881" t="s">
        <v>3104</v>
      </c>
      <c r="B37" s="882"/>
      <c r="C37" s="882"/>
      <c r="D37" s="882"/>
      <c r="E37" s="882"/>
      <c r="F37" s="883"/>
    </row>
    <row r="38" spans="1:6" ht="15.75" x14ac:dyDescent="0.25">
      <c r="A38" s="887" t="s">
        <v>3105</v>
      </c>
      <c r="B38" s="888"/>
      <c r="C38" s="888"/>
      <c r="D38" s="888"/>
      <c r="E38" s="888"/>
      <c r="F38" s="889"/>
    </row>
    <row r="39" spans="1:6" ht="50.1" customHeight="1" x14ac:dyDescent="0.25">
      <c r="A39" s="873" t="s">
        <v>3106</v>
      </c>
      <c r="B39" s="874"/>
      <c r="C39" s="874"/>
      <c r="D39" s="874"/>
      <c r="E39" s="874"/>
      <c r="F39" s="875"/>
    </row>
  </sheetData>
  <mergeCells count="12">
    <mergeCell ref="A39:F39"/>
    <mergeCell ref="A1:F1"/>
    <mergeCell ref="A2:F2"/>
    <mergeCell ref="A4:F4"/>
    <mergeCell ref="B13:F13"/>
    <mergeCell ref="B16:F16"/>
    <mergeCell ref="B32:F32"/>
    <mergeCell ref="A34:F34"/>
    <mergeCell ref="A35:F35"/>
    <mergeCell ref="A36:F36"/>
    <mergeCell ref="A37:F37"/>
    <mergeCell ref="A38:F3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D2AE0-59DD-430C-BA4B-A4BC9DCD9C5F}">
  <sheetPr codeName="Feuil17"/>
  <dimension ref="A1:W313"/>
  <sheetViews>
    <sheetView showGridLines="0" workbookViewId="0">
      <selection activeCell="A7" sqref="A7"/>
    </sheetView>
  </sheetViews>
  <sheetFormatPr baseColWidth="10" defaultColWidth="9.140625" defaultRowHeight="15" x14ac:dyDescent="0.25"/>
  <cols>
    <col min="1" max="1" width="22.5703125" style="99" customWidth="1"/>
    <col min="2" max="2" width="24" style="99" customWidth="1"/>
    <col min="3" max="3" width="31.85546875" style="99" customWidth="1"/>
    <col min="4" max="4" width="39.140625" style="99" customWidth="1"/>
    <col min="5" max="5" width="20.5703125" style="99" customWidth="1"/>
    <col min="6" max="6" width="22.5703125" style="99" customWidth="1"/>
    <col min="7" max="7" width="21.140625" style="99" customWidth="1"/>
    <col min="8" max="8" width="22" style="99" customWidth="1"/>
    <col min="9" max="9" width="24" style="99" customWidth="1"/>
    <col min="10" max="10" width="20" style="99" customWidth="1"/>
    <col min="11" max="11" width="17.140625" style="99" customWidth="1"/>
    <col min="12" max="12" width="15.7109375" style="99" customWidth="1"/>
    <col min="13" max="13" width="12" style="99" customWidth="1"/>
    <col min="14" max="15" width="13" style="99" customWidth="1"/>
    <col min="16" max="16" width="14.140625" style="99" customWidth="1"/>
    <col min="17" max="17" width="25.7109375" style="99" customWidth="1"/>
    <col min="18" max="18" width="28" style="99" customWidth="1"/>
    <col min="19" max="19" width="24" style="99" customWidth="1"/>
    <col min="20" max="20" width="20" style="99" customWidth="1"/>
    <col min="21" max="21" width="35.7109375" style="99" customWidth="1"/>
    <col min="22" max="22" width="30" style="99" customWidth="1"/>
    <col min="23" max="23" width="20.85546875" style="99" customWidth="1"/>
    <col min="24" max="16384" width="9.140625" style="99"/>
  </cols>
  <sheetData>
    <row r="1" spans="1:23" ht="30.95" customHeight="1" x14ac:dyDescent="0.25">
      <c r="A1" s="806" t="s">
        <v>3107</v>
      </c>
      <c r="B1" s="806"/>
      <c r="C1" s="806"/>
      <c r="D1" s="806"/>
      <c r="E1" s="806"/>
      <c r="F1" s="806"/>
      <c r="G1" s="806"/>
      <c r="H1" s="806"/>
      <c r="I1" s="806"/>
      <c r="J1" s="806"/>
      <c r="K1" s="218"/>
      <c r="L1" s="218"/>
      <c r="M1" s="218"/>
      <c r="N1" s="218"/>
      <c r="O1" s="218"/>
      <c r="P1" s="218"/>
      <c r="Q1" s="218"/>
      <c r="R1" s="218"/>
      <c r="S1" s="218"/>
      <c r="T1" s="218"/>
      <c r="U1" s="218"/>
      <c r="V1" s="218"/>
      <c r="W1" s="218"/>
    </row>
    <row r="2" spans="1:23" ht="24" customHeight="1" x14ac:dyDescent="0.25">
      <c r="A2" s="815" t="s">
        <v>3108</v>
      </c>
      <c r="B2" s="815"/>
      <c r="C2" s="815"/>
      <c r="D2" s="815"/>
      <c r="E2" s="815"/>
      <c r="F2" s="815"/>
      <c r="G2" s="815"/>
      <c r="H2" s="815"/>
      <c r="I2" s="815"/>
      <c r="J2" s="815"/>
      <c r="K2" s="815"/>
      <c r="L2" s="815"/>
      <c r="M2" s="815"/>
      <c r="N2" s="815"/>
      <c r="O2" s="815"/>
      <c r="P2" s="815"/>
      <c r="Q2" s="815"/>
      <c r="R2" s="815"/>
      <c r="S2" s="815"/>
      <c r="T2" s="815"/>
      <c r="U2" s="815"/>
      <c r="V2" s="815"/>
      <c r="W2" s="815"/>
    </row>
    <row r="3" spans="1:23" ht="24" customHeight="1" x14ac:dyDescent="0.25">
      <c r="A3" s="816" t="s">
        <v>3109</v>
      </c>
      <c r="B3" s="816"/>
      <c r="C3" s="816"/>
      <c r="D3" s="816"/>
      <c r="E3" s="816"/>
      <c r="F3" s="816"/>
      <c r="G3" s="816"/>
      <c r="H3" s="816"/>
      <c r="I3" s="816"/>
      <c r="J3" s="816"/>
      <c r="K3" s="816"/>
      <c r="L3" s="816"/>
      <c r="M3" s="816"/>
      <c r="N3" s="816"/>
      <c r="O3" s="816"/>
      <c r="P3" s="816"/>
      <c r="Q3" s="816"/>
      <c r="R3" s="816"/>
      <c r="S3" s="816"/>
      <c r="T3" s="816"/>
      <c r="U3" s="816"/>
      <c r="V3" s="816"/>
      <c r="W3" s="816"/>
    </row>
    <row r="4" spans="1:23" ht="15.75" x14ac:dyDescent="0.25">
      <c r="A4" s="98" t="s">
        <v>5193</v>
      </c>
    </row>
    <row r="5" spans="1:23" ht="33.950000000000003" customHeight="1" x14ac:dyDescent="0.25">
      <c r="A5" s="219" t="s">
        <v>1975</v>
      </c>
      <c r="B5" s="219" t="s">
        <v>2166</v>
      </c>
      <c r="C5" s="219" t="s">
        <v>2587</v>
      </c>
      <c r="D5" s="219" t="s">
        <v>3110</v>
      </c>
      <c r="E5" s="219"/>
      <c r="F5" s="219" t="s">
        <v>1008</v>
      </c>
      <c r="G5" s="219" t="s">
        <v>3111</v>
      </c>
      <c r="H5" s="219" t="s">
        <v>3112</v>
      </c>
      <c r="I5" s="219" t="s">
        <v>3113</v>
      </c>
      <c r="J5" s="219" t="s">
        <v>3114</v>
      </c>
      <c r="L5" s="220" t="s">
        <v>3115</v>
      </c>
      <c r="M5" s="220" t="s">
        <v>3116</v>
      </c>
      <c r="N5" s="220" t="s">
        <v>3117</v>
      </c>
      <c r="O5" s="220" t="s">
        <v>3118</v>
      </c>
      <c r="Q5" s="219" t="s">
        <v>3119</v>
      </c>
      <c r="R5" s="219" t="s">
        <v>2162</v>
      </c>
      <c r="S5" s="219"/>
      <c r="T5" s="219"/>
      <c r="U5" s="768" t="s">
        <v>4701</v>
      </c>
    </row>
    <row r="6" spans="1:23" ht="50.1" customHeight="1" x14ac:dyDescent="0.25">
      <c r="A6" s="179" t="s">
        <v>2970</v>
      </c>
      <c r="B6" s="180">
        <f>COUNT($M$23:$M$222)</f>
        <v>8</v>
      </c>
      <c r="C6" s="181" t="s">
        <v>2971</v>
      </c>
      <c r="D6" s="800" t="s">
        <v>3120</v>
      </c>
      <c r="E6" s="801"/>
      <c r="F6" s="182" t="s">
        <v>3116</v>
      </c>
      <c r="G6" s="183">
        <f>COUNTIF($D$23:$D$222,F6)</f>
        <v>5</v>
      </c>
      <c r="H6" s="184">
        <f>IFERROR(SUMIFS($M$23:$M$222,$D$23:$D$222,F6)/COUNTIF($D$23:$D$222,F6),"")</f>
        <v>3.8</v>
      </c>
      <c r="I6" s="184">
        <f>IFERROR(SUMIFS($N$23:$N$222,$D$23:$D$222,F6)/COUNTIF($D$23:$D$222,F6),"")</f>
        <v>3.6</v>
      </c>
      <c r="J6" s="185">
        <f>IFERROR(COUNTIFS($D$23:$D$222,F6,$R$23:$R$222,"Oui")/COUNTIF($D$23:$D$222,F6),"")</f>
        <v>0</v>
      </c>
      <c r="K6" s="158"/>
      <c r="L6" s="186" t="s">
        <v>3121</v>
      </c>
      <c r="M6" s="187">
        <f t="shared" ref="M6:M12" si="0">COUNTIFS($C$23:$C$222,$L6,$D$23:$D$222,"Midi")</f>
        <v>1</v>
      </c>
      <c r="N6" s="187">
        <f t="shared" ref="N6:N12" si="1">COUNTIFS($C$23:$C$222,$L6,$D$23:$D$222,"Soir")</f>
        <v>1</v>
      </c>
      <c r="O6" s="188">
        <f t="shared" ref="O6:O12" si="2">M6+N6</f>
        <v>2</v>
      </c>
      <c r="P6" s="158"/>
      <c r="Q6" s="189" t="s">
        <v>3122</v>
      </c>
      <c r="R6" s="802" t="str">
        <f>IF($B$16&gt;0,"Action immédiate : contrôler fiches techniques, transmissions soins/cuisine, plan de table et substitutions.","Aucun signal allergène saisi dans les réponses exploitées.")</f>
        <v>Action immédiate : contrôler fiches techniques, transmissions soins/cuisine, plan de table et substitutions.</v>
      </c>
      <c r="S6" s="802"/>
      <c r="T6" s="803"/>
    </row>
    <row r="7" spans="1:23" ht="50.1" customHeight="1" x14ac:dyDescent="0.25">
      <c r="A7" s="179" t="s">
        <v>3123</v>
      </c>
      <c r="B7" s="180">
        <f>COUNTIF($D$23:$D$222,"Midi")</f>
        <v>5</v>
      </c>
      <c r="C7" s="181" t="s">
        <v>3124</v>
      </c>
      <c r="D7" s="800" t="s">
        <v>3125</v>
      </c>
      <c r="E7" s="801"/>
      <c r="F7" s="182" t="s">
        <v>3117</v>
      </c>
      <c r="G7" s="183">
        <f>COUNTIF($D$23:$D$222,F7)</f>
        <v>3</v>
      </c>
      <c r="H7" s="184">
        <f>IFERROR(SUMIFS($M$23:$M$222,$D$23:$D$222,F7)/COUNTIF($D$23:$D$222,F7),"")</f>
        <v>2.6666666666666665</v>
      </c>
      <c r="I7" s="184">
        <f>IFERROR(SUMIFS($N$23:$N$222,$D$23:$D$222,F7)/COUNTIF($D$23:$D$222,F7),"")</f>
        <v>2.6666666666666665</v>
      </c>
      <c r="J7" s="185">
        <f>IFERROR(COUNTIFS($D$23:$D$222,F7,$R$23:$R$222,"Oui")/COUNTIF($D$23:$D$222,F7),"")</f>
        <v>1</v>
      </c>
      <c r="K7" s="158"/>
      <c r="L7" s="186" t="s">
        <v>3126</v>
      </c>
      <c r="M7" s="187">
        <f t="shared" si="0"/>
        <v>1</v>
      </c>
      <c r="N7" s="187">
        <f t="shared" si="1"/>
        <v>1</v>
      </c>
      <c r="O7" s="188">
        <f t="shared" si="2"/>
        <v>2</v>
      </c>
      <c r="P7" s="158"/>
      <c r="Q7" s="189" t="s">
        <v>3127</v>
      </c>
      <c r="R7" s="802" t="str">
        <f>IF($B$17&gt;0,"Mettre à jour le profil non-goûts résident et éviter les refus prévisibles.","Aucun non-goût renseigné : compléter si nécessaire.")</f>
        <v>Mettre à jour le profil non-goûts résident et éviter les refus prévisibles.</v>
      </c>
      <c r="S7" s="802"/>
      <c r="T7" s="803"/>
    </row>
    <row r="8" spans="1:23" ht="50.1" customHeight="1" x14ac:dyDescent="0.25">
      <c r="A8" s="179" t="s">
        <v>3128</v>
      </c>
      <c r="B8" s="180">
        <f>COUNTIF($D$23:$D$222,"Soir")</f>
        <v>3</v>
      </c>
      <c r="C8" s="181" t="s">
        <v>3129</v>
      </c>
      <c r="D8" s="800" t="s">
        <v>3130</v>
      </c>
      <c r="E8" s="801"/>
      <c r="F8" s="182" t="s">
        <v>3118</v>
      </c>
      <c r="G8" s="183">
        <f>$B$6</f>
        <v>8</v>
      </c>
      <c r="H8" s="184">
        <f>$B$9</f>
        <v>3.375</v>
      </c>
      <c r="I8" s="184">
        <f>$B$10</f>
        <v>3.25</v>
      </c>
      <c r="J8" s="185">
        <f>$B$19</f>
        <v>0.375</v>
      </c>
      <c r="K8" s="158"/>
      <c r="L8" s="186" t="s">
        <v>3131</v>
      </c>
      <c r="M8" s="187">
        <f t="shared" si="0"/>
        <v>1</v>
      </c>
      <c r="N8" s="187">
        <f t="shared" si="1"/>
        <v>0</v>
      </c>
      <c r="O8" s="188">
        <f t="shared" si="2"/>
        <v>1</v>
      </c>
      <c r="P8" s="158"/>
      <c r="Q8" s="189" t="s">
        <v>3132</v>
      </c>
      <c r="R8" s="802" t="str">
        <f>IF($B$18&gt;0,"Lire séparément mixé/haché/manger-main : goût, aspect, liaison, température, aide au repas.","Pas de texture modifiée dans les lignes saisies.")</f>
        <v>Lire séparément mixé/haché/manger-main : goût, aspect, liaison, température, aide au repas.</v>
      </c>
      <c r="S8" s="802"/>
      <c r="T8" s="803"/>
    </row>
    <row r="9" spans="1:23" ht="50.1" customHeight="1" x14ac:dyDescent="0.25">
      <c r="A9" s="179" t="s">
        <v>2864</v>
      </c>
      <c r="B9" s="190">
        <f>IFERROR(AVERAGE($M$23:$M$222),"")</f>
        <v>3.375</v>
      </c>
      <c r="C9" s="181" t="s">
        <v>2974</v>
      </c>
      <c r="D9" s="800" t="s">
        <v>3133</v>
      </c>
      <c r="E9" s="801"/>
      <c r="F9" s="221" t="s">
        <v>3505</v>
      </c>
      <c r="G9" s="158"/>
      <c r="H9" s="158"/>
      <c r="I9" s="158"/>
      <c r="J9" s="158"/>
      <c r="K9" s="158"/>
      <c r="L9" s="186" t="s">
        <v>3134</v>
      </c>
      <c r="M9" s="187">
        <f t="shared" si="0"/>
        <v>1</v>
      </c>
      <c r="N9" s="187">
        <f t="shared" si="1"/>
        <v>0</v>
      </c>
      <c r="O9" s="188">
        <f t="shared" si="2"/>
        <v>1</v>
      </c>
      <c r="P9" s="158"/>
      <c r="Q9" s="189" t="s">
        <v>3135</v>
      </c>
      <c r="R9" s="802" t="str">
        <f>IF($B$19&gt;0.2,"Alerte : taux de restes &gt; 20 %. Analyser cause du reste et service concerné.","Taux de restes maîtrisé ou échantillon insuffisant.")</f>
        <v>Alerte : taux de restes &gt; 20 %. Analyser cause du reste et service concerné.</v>
      </c>
      <c r="S9" s="802"/>
      <c r="T9" s="803"/>
    </row>
    <row r="10" spans="1:23" ht="50.1" customHeight="1" x14ac:dyDescent="0.25">
      <c r="A10" s="179" t="s">
        <v>3136</v>
      </c>
      <c r="B10" s="190">
        <f>IFERROR(AVERAGE($N$23:$N$222),"")</f>
        <v>3.25</v>
      </c>
      <c r="C10" s="181" t="s">
        <v>2976</v>
      </c>
      <c r="D10" s="800" t="s">
        <v>3137</v>
      </c>
      <c r="E10" s="801"/>
      <c r="F10" s="158"/>
      <c r="G10" s="158"/>
      <c r="H10" s="158"/>
      <c r="I10" s="158"/>
      <c r="J10" s="158"/>
      <c r="K10" s="158"/>
      <c r="L10" s="186" t="s">
        <v>3138</v>
      </c>
      <c r="M10" s="187">
        <f t="shared" si="0"/>
        <v>0</v>
      </c>
      <c r="N10" s="187">
        <f t="shared" si="1"/>
        <v>1</v>
      </c>
      <c r="O10" s="188">
        <f t="shared" si="2"/>
        <v>1</v>
      </c>
      <c r="P10" s="158"/>
      <c r="Q10" s="189" t="s">
        <v>3098</v>
      </c>
      <c r="R10" s="802" t="str">
        <f>$B$20</f>
        <v>Échantillon faible : poursuivre la collecte</v>
      </c>
      <c r="S10" s="802"/>
      <c r="T10" s="803"/>
    </row>
    <row r="11" spans="1:23" ht="50.1" customHeight="1" x14ac:dyDescent="0.25">
      <c r="A11" s="179" t="s">
        <v>3139</v>
      </c>
      <c r="B11" s="190">
        <f>IFERROR(AVERAGE($L$23:$L$222),"")</f>
        <v>3.625</v>
      </c>
      <c r="C11" s="181" t="s">
        <v>3140</v>
      </c>
      <c r="D11" s="800" t="s">
        <v>3141</v>
      </c>
      <c r="E11" s="801"/>
      <c r="F11" s="158"/>
      <c r="G11" s="158"/>
      <c r="H11" s="158"/>
      <c r="I11" s="158"/>
      <c r="J11" s="158"/>
      <c r="K11" s="158"/>
      <c r="L11" s="186" t="s">
        <v>3142</v>
      </c>
      <c r="M11" s="187">
        <f t="shared" si="0"/>
        <v>0</v>
      </c>
      <c r="N11" s="187">
        <f t="shared" si="1"/>
        <v>0</v>
      </c>
      <c r="O11" s="188">
        <f t="shared" si="2"/>
        <v>0</v>
      </c>
      <c r="P11" s="158"/>
      <c r="Q11" s="158"/>
      <c r="R11" s="158"/>
    </row>
    <row r="12" spans="1:23" ht="50.1" customHeight="1" x14ac:dyDescent="0.25">
      <c r="A12" s="179" t="s">
        <v>3143</v>
      </c>
      <c r="B12" s="190">
        <f>IFERROR(AVERAGE($O$23:$O$222),"")</f>
        <v>3.5</v>
      </c>
      <c r="C12" s="181" t="s">
        <v>3144</v>
      </c>
      <c r="D12" s="800" t="s">
        <v>3145</v>
      </c>
      <c r="E12" s="801"/>
      <c r="F12" s="158"/>
      <c r="G12" s="158"/>
      <c r="H12" s="158"/>
      <c r="I12" s="158"/>
      <c r="J12" s="158"/>
      <c r="K12" s="158"/>
      <c r="L12" s="186" t="s">
        <v>3146</v>
      </c>
      <c r="M12" s="187">
        <f t="shared" si="0"/>
        <v>1</v>
      </c>
      <c r="N12" s="187">
        <f t="shared" si="1"/>
        <v>0</v>
      </c>
      <c r="O12" s="188">
        <f t="shared" si="2"/>
        <v>1</v>
      </c>
      <c r="P12" s="158"/>
      <c r="Q12" s="158"/>
      <c r="R12" s="158"/>
    </row>
    <row r="13" spans="1:23" ht="50.1" customHeight="1" x14ac:dyDescent="0.25">
      <c r="A13" s="179" t="s">
        <v>3147</v>
      </c>
      <c r="B13" s="190">
        <f>IFERROR(AVERAGE($K$23:$K$222),"")</f>
        <v>3.5</v>
      </c>
      <c r="C13" s="181" t="s">
        <v>3148</v>
      </c>
      <c r="D13" s="800" t="s">
        <v>3149</v>
      </c>
      <c r="E13" s="801"/>
      <c r="F13" s="158"/>
      <c r="G13" s="158"/>
      <c r="H13" s="158"/>
      <c r="I13" s="158"/>
      <c r="J13" s="158"/>
      <c r="K13" s="158"/>
      <c r="L13" s="158"/>
      <c r="M13" s="158"/>
      <c r="N13" s="158"/>
      <c r="O13" s="158"/>
      <c r="P13" s="158"/>
      <c r="Q13" s="158"/>
      <c r="R13" s="158"/>
    </row>
    <row r="14" spans="1:23" ht="50.1" customHeight="1" x14ac:dyDescent="0.25">
      <c r="A14" s="179" t="s">
        <v>3150</v>
      </c>
      <c r="B14" s="190">
        <f>IFERROR(AVERAGE($K$23:$P$222),"")</f>
        <v>3.4583333333333335</v>
      </c>
      <c r="C14" s="181" t="s">
        <v>3151</v>
      </c>
      <c r="D14" s="800" t="s">
        <v>3152</v>
      </c>
      <c r="E14" s="801"/>
      <c r="F14" s="158"/>
      <c r="G14" s="158"/>
      <c r="H14" s="158"/>
      <c r="I14" s="158"/>
      <c r="J14" s="158"/>
      <c r="K14" s="158"/>
      <c r="L14" s="158"/>
      <c r="M14" s="158"/>
      <c r="N14" s="158"/>
      <c r="O14" s="158"/>
      <c r="P14" s="158"/>
      <c r="Q14" s="158"/>
      <c r="R14" s="158"/>
    </row>
    <row r="15" spans="1:23" ht="50.1" customHeight="1" x14ac:dyDescent="0.25">
      <c r="A15" s="179" t="s">
        <v>2508</v>
      </c>
      <c r="B15" s="191">
        <f>IFERROR($B$14/5,"")</f>
        <v>0.69166666666666665</v>
      </c>
      <c r="C15" s="181" t="s">
        <v>2989</v>
      </c>
      <c r="D15" s="800" t="s">
        <v>3153</v>
      </c>
      <c r="E15" s="801"/>
      <c r="F15" s="158"/>
      <c r="G15" s="158"/>
      <c r="H15" s="158"/>
      <c r="I15" s="158"/>
      <c r="J15" s="158"/>
      <c r="K15" s="158"/>
      <c r="L15" s="158"/>
      <c r="M15" s="158"/>
      <c r="N15" s="158"/>
      <c r="O15" s="158"/>
      <c r="P15" s="158"/>
      <c r="Q15" s="158"/>
      <c r="R15" s="158"/>
    </row>
    <row r="16" spans="1:23" ht="50.1" customHeight="1" x14ac:dyDescent="0.25">
      <c r="A16" s="179" t="s">
        <v>3154</v>
      </c>
      <c r="B16" s="192">
        <f>COUNTIF($G$23:$G$222,"Oui")+COUNTIF($G$23:$G$222,"À vérifier")</f>
        <v>3</v>
      </c>
      <c r="C16" s="181" t="s">
        <v>3155</v>
      </c>
      <c r="D16" s="800" t="s">
        <v>3156</v>
      </c>
      <c r="E16" s="801"/>
      <c r="F16" s="158"/>
      <c r="G16" s="158"/>
      <c r="H16" s="158"/>
      <c r="I16" s="158"/>
      <c r="J16" s="158"/>
      <c r="K16" s="158"/>
      <c r="L16" s="158"/>
      <c r="M16" s="158"/>
      <c r="N16" s="158"/>
      <c r="O16" s="158"/>
      <c r="P16" s="158"/>
      <c r="Q16" s="158"/>
      <c r="R16" s="158"/>
    </row>
    <row r="17" spans="1:23" ht="50.1" customHeight="1" x14ac:dyDescent="0.25">
      <c r="A17" s="179" t="s">
        <v>3157</v>
      </c>
      <c r="B17" s="192">
        <f>COUNTIF($I$23:$I$222,"&lt;&gt;")</f>
        <v>6</v>
      </c>
      <c r="C17" s="181" t="s">
        <v>3158</v>
      </c>
      <c r="D17" s="800" t="s">
        <v>3159</v>
      </c>
      <c r="E17" s="801"/>
      <c r="F17" s="158"/>
      <c r="G17" s="158"/>
      <c r="H17" s="158"/>
      <c r="I17" s="158"/>
      <c r="J17" s="158"/>
      <c r="K17" s="158"/>
      <c r="L17" s="158"/>
      <c r="M17" s="158"/>
      <c r="N17" s="158"/>
      <c r="O17" s="158"/>
      <c r="P17" s="158"/>
      <c r="Q17" s="158"/>
      <c r="R17" s="158"/>
    </row>
    <row r="18" spans="1:23" ht="50.1" customHeight="1" x14ac:dyDescent="0.25">
      <c r="A18" s="179" t="s">
        <v>3160</v>
      </c>
      <c r="B18" s="192">
        <f>COUNTIF($F$23:$F$222,"Mixé")+COUNTIF($F$23:$F$222,"Haché")+COUNTIF($F$23:$F$222,"Manger-main")</f>
        <v>3</v>
      </c>
      <c r="C18" s="181" t="s">
        <v>3161</v>
      </c>
      <c r="D18" s="800" t="s">
        <v>3162</v>
      </c>
      <c r="E18" s="801"/>
      <c r="F18" s="158"/>
      <c r="G18" s="158"/>
      <c r="H18" s="158"/>
      <c r="I18" s="158"/>
      <c r="J18" s="158"/>
      <c r="K18" s="158"/>
      <c r="L18" s="158"/>
      <c r="M18" s="158"/>
      <c r="N18" s="158"/>
      <c r="O18" s="158"/>
      <c r="P18" s="158"/>
      <c r="Q18" s="158"/>
      <c r="R18" s="158"/>
    </row>
    <row r="19" spans="1:23" ht="50.1" customHeight="1" x14ac:dyDescent="0.25">
      <c r="A19" s="179" t="s">
        <v>3163</v>
      </c>
      <c r="B19" s="193">
        <f>IFERROR(COUNTIF($R$23:$R$222,"Oui")/COUNTA($R$23:$R$222),"")</f>
        <v>0.375</v>
      </c>
      <c r="C19" s="181" t="s">
        <v>3164</v>
      </c>
      <c r="D19" s="800" t="s">
        <v>3165</v>
      </c>
      <c r="E19" s="801"/>
      <c r="F19" s="158"/>
      <c r="G19" s="158"/>
      <c r="H19" s="158"/>
      <c r="I19" s="158"/>
      <c r="J19" s="158"/>
      <c r="K19" s="158"/>
      <c r="L19" s="158"/>
      <c r="M19" s="158"/>
      <c r="N19" s="158"/>
      <c r="O19" s="158"/>
      <c r="P19" s="158"/>
      <c r="Q19" s="158"/>
      <c r="R19" s="158"/>
    </row>
    <row r="20" spans="1:23" ht="50.1" customHeight="1" x14ac:dyDescent="0.25">
      <c r="A20" s="179" t="s">
        <v>2878</v>
      </c>
      <c r="B20" s="194" t="str">
        <f>IF($B$6&lt;20,"Échantillon faible : poursuivre la collecte",IF($B$16&gt;0,"Priorité sécurité : vérifier allergènes / intolérances",IF($B$19&gt;0.2,"Corriger restes : portion, texture ou service",IF($B$14&lt;3,"Corriger recette/service avant reconduction","Reconduction possible avec surveillance"))))</f>
        <v>Échantillon faible : poursuivre la collecte</v>
      </c>
      <c r="C20" s="181" t="s">
        <v>2999</v>
      </c>
      <c r="D20" s="800" t="s">
        <v>3166</v>
      </c>
      <c r="E20" s="801"/>
      <c r="F20" s="158"/>
      <c r="G20" s="158"/>
      <c r="H20" s="158"/>
      <c r="I20" s="158"/>
      <c r="J20" s="158"/>
      <c r="K20" s="158"/>
      <c r="L20" s="158"/>
      <c r="M20" s="158"/>
      <c r="N20" s="158"/>
      <c r="O20" s="158"/>
      <c r="P20" s="158"/>
      <c r="Q20" s="158"/>
      <c r="R20" s="158"/>
    </row>
    <row r="21" spans="1:23" ht="15.75" x14ac:dyDescent="0.25">
      <c r="A21" s="158"/>
      <c r="B21" s="158"/>
      <c r="C21" s="143" t="s">
        <v>3003</v>
      </c>
      <c r="D21" s="143" t="s">
        <v>3003</v>
      </c>
      <c r="E21" s="143" t="s">
        <v>3003</v>
      </c>
      <c r="F21" s="143" t="s">
        <v>3003</v>
      </c>
      <c r="G21" s="143" t="s">
        <v>3003</v>
      </c>
      <c r="H21" s="158"/>
      <c r="I21" s="158"/>
      <c r="J21" s="143" t="s">
        <v>3003</v>
      </c>
      <c r="K21" s="158"/>
      <c r="L21" s="158"/>
      <c r="M21" s="158"/>
      <c r="N21" s="158"/>
      <c r="O21" s="158"/>
      <c r="P21" s="158"/>
      <c r="Q21" s="143" t="s">
        <v>3003</v>
      </c>
      <c r="R21" s="143" t="s">
        <v>3003</v>
      </c>
      <c r="T21" s="143" t="s">
        <v>3003</v>
      </c>
      <c r="W21" s="143" t="s">
        <v>3003</v>
      </c>
    </row>
    <row r="22" spans="1:23" ht="42" customHeight="1" x14ac:dyDescent="0.25">
      <c r="A22" s="219" t="s">
        <v>0</v>
      </c>
      <c r="B22" s="220" t="s">
        <v>2880</v>
      </c>
      <c r="C22" s="220" t="s">
        <v>3115</v>
      </c>
      <c r="D22" s="220" t="s">
        <v>1008</v>
      </c>
      <c r="E22" s="220" t="s">
        <v>3167</v>
      </c>
      <c r="F22" s="220" t="s">
        <v>3168</v>
      </c>
      <c r="G22" s="220" t="s">
        <v>3169</v>
      </c>
      <c r="H22" s="220" t="s">
        <v>3050</v>
      </c>
      <c r="I22" s="220" t="s">
        <v>3170</v>
      </c>
      <c r="J22" s="220" t="s">
        <v>3089</v>
      </c>
      <c r="K22" s="220" t="s">
        <v>3171</v>
      </c>
      <c r="L22" s="220" t="s">
        <v>3172</v>
      </c>
      <c r="M22" s="220" t="s">
        <v>2881</v>
      </c>
      <c r="N22" s="220" t="s">
        <v>3004</v>
      </c>
      <c r="O22" s="220" t="s">
        <v>3173</v>
      </c>
      <c r="P22" s="220" t="s">
        <v>3174</v>
      </c>
      <c r="Q22" s="220" t="s">
        <v>3080</v>
      </c>
      <c r="R22" s="220" t="s">
        <v>3175</v>
      </c>
      <c r="S22" s="220" t="s">
        <v>3176</v>
      </c>
      <c r="T22" s="220" t="s">
        <v>3177</v>
      </c>
      <c r="U22" s="220" t="s">
        <v>2522</v>
      </c>
      <c r="V22" s="220" t="s">
        <v>3178</v>
      </c>
      <c r="W22" s="220" t="s">
        <v>2230</v>
      </c>
    </row>
    <row r="23" spans="1:23" ht="30" customHeight="1" x14ac:dyDescent="0.25">
      <c r="A23" s="195">
        <v>1</v>
      </c>
      <c r="B23" s="196">
        <v>46139</v>
      </c>
      <c r="C23" s="195" t="s">
        <v>3121</v>
      </c>
      <c r="D23" s="197" t="s">
        <v>3116</v>
      </c>
      <c r="E23" s="197" t="s">
        <v>3179</v>
      </c>
      <c r="F23" s="197" t="s">
        <v>3180</v>
      </c>
      <c r="G23" s="197" t="s">
        <v>2890</v>
      </c>
      <c r="H23" s="198"/>
      <c r="I23" s="199" t="s">
        <v>3181</v>
      </c>
      <c r="J23" s="200" t="s">
        <v>3182</v>
      </c>
      <c r="K23" s="201">
        <v>4</v>
      </c>
      <c r="L23" s="201">
        <v>4</v>
      </c>
      <c r="M23" s="201">
        <v>4</v>
      </c>
      <c r="N23" s="201">
        <v>4</v>
      </c>
      <c r="O23" s="201">
        <v>4</v>
      </c>
      <c r="P23" s="201">
        <v>3</v>
      </c>
      <c r="Q23" s="197" t="s">
        <v>3183</v>
      </c>
      <c r="R23" s="197" t="s">
        <v>2890</v>
      </c>
      <c r="S23" s="202"/>
      <c r="T23" s="197" t="s">
        <v>2891</v>
      </c>
      <c r="U23" s="203" t="s">
        <v>3184</v>
      </c>
      <c r="V23" s="204" t="s">
        <v>3185</v>
      </c>
      <c r="W23" s="205" t="s">
        <v>3186</v>
      </c>
    </row>
    <row r="24" spans="1:23" ht="30" customHeight="1" x14ac:dyDescent="0.25">
      <c r="A24" s="195">
        <v>2</v>
      </c>
      <c r="B24" s="196">
        <v>46139</v>
      </c>
      <c r="C24" s="195" t="s">
        <v>3121</v>
      </c>
      <c r="D24" s="197" t="s">
        <v>3117</v>
      </c>
      <c r="E24" s="197" t="s">
        <v>3179</v>
      </c>
      <c r="F24" s="197" t="s">
        <v>3187</v>
      </c>
      <c r="G24" s="197" t="s">
        <v>3188</v>
      </c>
      <c r="H24" s="198" t="s">
        <v>3189</v>
      </c>
      <c r="I24" s="199" t="s">
        <v>3190</v>
      </c>
      <c r="J24" s="200" t="s">
        <v>3191</v>
      </c>
      <c r="K24" s="201">
        <v>2</v>
      </c>
      <c r="L24" s="201">
        <v>3</v>
      </c>
      <c r="M24" s="201">
        <v>2</v>
      </c>
      <c r="N24" s="201">
        <v>2</v>
      </c>
      <c r="O24" s="201">
        <v>3</v>
      </c>
      <c r="P24" s="201">
        <v>3</v>
      </c>
      <c r="Q24" s="197" t="s">
        <v>3192</v>
      </c>
      <c r="R24" s="197" t="s">
        <v>2891</v>
      </c>
      <c r="S24" s="202" t="s">
        <v>3193</v>
      </c>
      <c r="T24" s="197" t="s">
        <v>2890</v>
      </c>
      <c r="U24" s="203" t="s">
        <v>3194</v>
      </c>
      <c r="V24" s="204" t="s">
        <v>3195</v>
      </c>
      <c r="W24" s="205" t="s">
        <v>3196</v>
      </c>
    </row>
    <row r="25" spans="1:23" ht="30" customHeight="1" x14ac:dyDescent="0.25">
      <c r="A25" s="195">
        <v>3</v>
      </c>
      <c r="B25" s="196">
        <v>46140</v>
      </c>
      <c r="C25" s="195" t="s">
        <v>3126</v>
      </c>
      <c r="D25" s="197" t="s">
        <v>3116</v>
      </c>
      <c r="E25" s="197" t="s">
        <v>1719</v>
      </c>
      <c r="F25" s="197" t="s">
        <v>3197</v>
      </c>
      <c r="G25" s="197" t="s">
        <v>2891</v>
      </c>
      <c r="H25" s="198" t="s">
        <v>3198</v>
      </c>
      <c r="I25" s="199" t="s">
        <v>3199</v>
      </c>
      <c r="J25" s="200" t="s">
        <v>3191</v>
      </c>
      <c r="K25" s="201">
        <v>3</v>
      </c>
      <c r="L25" s="201">
        <v>4</v>
      </c>
      <c r="M25" s="201">
        <v>3</v>
      </c>
      <c r="N25" s="201">
        <v>3</v>
      </c>
      <c r="O25" s="201">
        <v>3</v>
      </c>
      <c r="P25" s="201">
        <v>4</v>
      </c>
      <c r="Q25" s="197" t="s">
        <v>3192</v>
      </c>
      <c r="R25" s="197" t="s">
        <v>2890</v>
      </c>
      <c r="S25" s="202"/>
      <c r="T25" s="197" t="s">
        <v>2895</v>
      </c>
      <c r="U25" s="203" t="s">
        <v>3200</v>
      </c>
      <c r="V25" s="204" t="s">
        <v>3201</v>
      </c>
      <c r="W25" s="205" t="s">
        <v>3196</v>
      </c>
    </row>
    <row r="26" spans="1:23" ht="30" customHeight="1" x14ac:dyDescent="0.25">
      <c r="A26" s="195">
        <v>4</v>
      </c>
      <c r="B26" s="196">
        <v>46140</v>
      </c>
      <c r="C26" s="195" t="s">
        <v>3126</v>
      </c>
      <c r="D26" s="197" t="s">
        <v>3117</v>
      </c>
      <c r="E26" s="197" t="s">
        <v>3179</v>
      </c>
      <c r="F26" s="197" t="s">
        <v>3202</v>
      </c>
      <c r="G26" s="197" t="s">
        <v>2890</v>
      </c>
      <c r="H26" s="198"/>
      <c r="I26" s="199" t="s">
        <v>3203</v>
      </c>
      <c r="J26" s="200" t="s">
        <v>3182</v>
      </c>
      <c r="K26" s="201">
        <v>4</v>
      </c>
      <c r="L26" s="201">
        <v>2</v>
      </c>
      <c r="M26" s="201">
        <v>3</v>
      </c>
      <c r="N26" s="201">
        <v>3</v>
      </c>
      <c r="O26" s="201">
        <v>4</v>
      </c>
      <c r="P26" s="201">
        <v>3</v>
      </c>
      <c r="Q26" s="197" t="s">
        <v>3204</v>
      </c>
      <c r="R26" s="197" t="s">
        <v>2891</v>
      </c>
      <c r="S26" s="202" t="s">
        <v>3205</v>
      </c>
      <c r="T26" s="197" t="s">
        <v>2895</v>
      </c>
      <c r="U26" s="203" t="s">
        <v>3206</v>
      </c>
      <c r="V26" s="204" t="s">
        <v>3207</v>
      </c>
      <c r="W26" s="205" t="s">
        <v>3186</v>
      </c>
    </row>
    <row r="27" spans="1:23" ht="30" customHeight="1" x14ac:dyDescent="0.25">
      <c r="A27" s="195">
        <v>5</v>
      </c>
      <c r="B27" s="196">
        <v>46141</v>
      </c>
      <c r="C27" s="195" t="s">
        <v>3131</v>
      </c>
      <c r="D27" s="197" t="s">
        <v>3116</v>
      </c>
      <c r="E27" s="197" t="s">
        <v>3208</v>
      </c>
      <c r="F27" s="197" t="s">
        <v>3209</v>
      </c>
      <c r="G27" s="197" t="s">
        <v>2890</v>
      </c>
      <c r="H27" s="198"/>
      <c r="I27" s="199"/>
      <c r="J27" s="200" t="s">
        <v>3210</v>
      </c>
      <c r="K27" s="201">
        <v>4</v>
      </c>
      <c r="L27" s="201">
        <v>4</v>
      </c>
      <c r="M27" s="201">
        <v>4</v>
      </c>
      <c r="N27" s="201">
        <v>4</v>
      </c>
      <c r="O27" s="201">
        <v>5</v>
      </c>
      <c r="P27" s="201">
        <v>4</v>
      </c>
      <c r="Q27" s="197" t="s">
        <v>3183</v>
      </c>
      <c r="R27" s="197" t="s">
        <v>2890</v>
      </c>
      <c r="S27" s="202"/>
      <c r="T27" s="197" t="s">
        <v>2891</v>
      </c>
      <c r="U27" s="203" t="s">
        <v>3211</v>
      </c>
      <c r="V27" s="204" t="s">
        <v>3212</v>
      </c>
      <c r="W27" s="205" t="s">
        <v>3186</v>
      </c>
    </row>
    <row r="28" spans="1:23" ht="30" customHeight="1" x14ac:dyDescent="0.25">
      <c r="A28" s="195">
        <v>6</v>
      </c>
      <c r="B28" s="196">
        <v>46142</v>
      </c>
      <c r="C28" s="195" t="s">
        <v>3134</v>
      </c>
      <c r="D28" s="197" t="s">
        <v>3116</v>
      </c>
      <c r="E28" s="197" t="s">
        <v>3179</v>
      </c>
      <c r="F28" s="197" t="s">
        <v>3213</v>
      </c>
      <c r="G28" s="197" t="s">
        <v>2891</v>
      </c>
      <c r="H28" s="198" t="s">
        <v>3214</v>
      </c>
      <c r="I28" s="199" t="s">
        <v>3215</v>
      </c>
      <c r="J28" s="200" t="s">
        <v>3182</v>
      </c>
      <c r="K28" s="201">
        <v>3</v>
      </c>
      <c r="L28" s="201">
        <v>4</v>
      </c>
      <c r="M28" s="201">
        <v>3</v>
      </c>
      <c r="N28" s="201">
        <v>3</v>
      </c>
      <c r="O28" s="201">
        <v>3</v>
      </c>
      <c r="P28" s="201">
        <v>3</v>
      </c>
      <c r="Q28" s="197" t="s">
        <v>3192</v>
      </c>
      <c r="R28" s="197" t="s">
        <v>2890</v>
      </c>
      <c r="S28" s="202"/>
      <c r="T28" s="197" t="s">
        <v>2895</v>
      </c>
      <c r="U28" s="203" t="s">
        <v>3216</v>
      </c>
      <c r="V28" s="204" t="s">
        <v>3217</v>
      </c>
      <c r="W28" s="205" t="s">
        <v>3186</v>
      </c>
    </row>
    <row r="29" spans="1:23" ht="30" customHeight="1" x14ac:dyDescent="0.25">
      <c r="A29" s="195">
        <v>7</v>
      </c>
      <c r="B29" s="196">
        <v>46143</v>
      </c>
      <c r="C29" s="195" t="s">
        <v>3138</v>
      </c>
      <c r="D29" s="197" t="s">
        <v>3117</v>
      </c>
      <c r="E29" s="197" t="s">
        <v>1719</v>
      </c>
      <c r="F29" s="197" t="s">
        <v>3218</v>
      </c>
      <c r="G29" s="197" t="s">
        <v>2890</v>
      </c>
      <c r="H29" s="198"/>
      <c r="I29" s="199" t="s">
        <v>3219</v>
      </c>
      <c r="J29" s="200" t="s">
        <v>3191</v>
      </c>
      <c r="K29" s="201">
        <v>3</v>
      </c>
      <c r="L29" s="201">
        <v>3</v>
      </c>
      <c r="M29" s="201">
        <v>3</v>
      </c>
      <c r="N29" s="201">
        <v>3</v>
      </c>
      <c r="O29" s="201">
        <v>2</v>
      </c>
      <c r="P29" s="201">
        <v>3</v>
      </c>
      <c r="Q29" s="197" t="s">
        <v>3204</v>
      </c>
      <c r="R29" s="197" t="s">
        <v>2891</v>
      </c>
      <c r="S29" s="202" t="s">
        <v>3220</v>
      </c>
      <c r="T29" s="197" t="s">
        <v>2895</v>
      </c>
      <c r="U29" s="203" t="s">
        <v>3221</v>
      </c>
      <c r="V29" s="204" t="s">
        <v>3222</v>
      </c>
      <c r="W29" s="205" t="s">
        <v>3186</v>
      </c>
    </row>
    <row r="30" spans="1:23" ht="30" customHeight="1" x14ac:dyDescent="0.25">
      <c r="A30" s="195">
        <v>8</v>
      </c>
      <c r="B30" s="196">
        <v>46145</v>
      </c>
      <c r="C30" s="195" t="s">
        <v>3146</v>
      </c>
      <c r="D30" s="197" t="s">
        <v>3116</v>
      </c>
      <c r="E30" s="197" t="s">
        <v>1719</v>
      </c>
      <c r="F30" s="197" t="s">
        <v>3180</v>
      </c>
      <c r="G30" s="197" t="s">
        <v>2890</v>
      </c>
      <c r="H30" s="198"/>
      <c r="I30" s="199"/>
      <c r="J30" s="200" t="s">
        <v>3182</v>
      </c>
      <c r="K30" s="201">
        <v>5</v>
      </c>
      <c r="L30" s="201">
        <v>5</v>
      </c>
      <c r="M30" s="201">
        <v>5</v>
      </c>
      <c r="N30" s="201">
        <v>4</v>
      </c>
      <c r="O30" s="201">
        <v>4</v>
      </c>
      <c r="P30" s="201">
        <v>5</v>
      </c>
      <c r="Q30" s="197" t="s">
        <v>3183</v>
      </c>
      <c r="R30" s="197" t="s">
        <v>2890</v>
      </c>
      <c r="S30" s="202"/>
      <c r="T30" s="197" t="s">
        <v>2891</v>
      </c>
      <c r="U30" s="203" t="s">
        <v>3223</v>
      </c>
      <c r="V30" s="204" t="s">
        <v>3224</v>
      </c>
      <c r="W30" s="205" t="s">
        <v>3186</v>
      </c>
    </row>
    <row r="31" spans="1:23" ht="30" customHeight="1" x14ac:dyDescent="0.25">
      <c r="A31" s="195">
        <v>9</v>
      </c>
      <c r="B31" s="196"/>
      <c r="C31" s="195"/>
      <c r="D31" s="197"/>
      <c r="E31" s="197"/>
      <c r="F31" s="197"/>
      <c r="G31" s="197"/>
      <c r="H31" s="198"/>
      <c r="I31" s="199"/>
      <c r="J31" s="200"/>
      <c r="K31" s="201"/>
      <c r="L31" s="201"/>
      <c r="M31" s="201"/>
      <c r="N31" s="201"/>
      <c r="O31" s="201"/>
      <c r="P31" s="201"/>
      <c r="Q31" s="197"/>
      <c r="R31" s="197"/>
      <c r="S31" s="202"/>
      <c r="T31" s="197"/>
      <c r="U31" s="203"/>
      <c r="V31" s="204"/>
      <c r="W31" s="205"/>
    </row>
    <row r="32" spans="1:23" ht="30" customHeight="1" x14ac:dyDescent="0.25">
      <c r="A32" s="195">
        <v>10</v>
      </c>
      <c r="B32" s="196"/>
      <c r="C32" s="195"/>
      <c r="D32" s="197"/>
      <c r="E32" s="197"/>
      <c r="F32" s="197"/>
      <c r="G32" s="197"/>
      <c r="H32" s="198"/>
      <c r="I32" s="199"/>
      <c r="J32" s="200"/>
      <c r="K32" s="201"/>
      <c r="L32" s="201"/>
      <c r="M32" s="201"/>
      <c r="N32" s="201"/>
      <c r="O32" s="201"/>
      <c r="P32" s="201"/>
      <c r="Q32" s="197"/>
      <c r="R32" s="197"/>
      <c r="S32" s="202"/>
      <c r="T32" s="197"/>
      <c r="U32" s="203"/>
      <c r="V32" s="204"/>
      <c r="W32" s="205"/>
    </row>
    <row r="33" spans="1:23" ht="30" customHeight="1" x14ac:dyDescent="0.25">
      <c r="A33" s="195">
        <v>11</v>
      </c>
      <c r="B33" s="196"/>
      <c r="C33" s="195"/>
      <c r="D33" s="197"/>
      <c r="E33" s="197"/>
      <c r="F33" s="197"/>
      <c r="G33" s="197"/>
      <c r="H33" s="198"/>
      <c r="I33" s="199"/>
      <c r="J33" s="200"/>
      <c r="K33" s="201"/>
      <c r="L33" s="201"/>
      <c r="M33" s="201"/>
      <c r="N33" s="201"/>
      <c r="O33" s="201"/>
      <c r="P33" s="201"/>
      <c r="Q33" s="197"/>
      <c r="R33" s="197"/>
      <c r="S33" s="202"/>
      <c r="T33" s="197"/>
      <c r="U33" s="203"/>
      <c r="V33" s="204"/>
      <c r="W33" s="205"/>
    </row>
    <row r="34" spans="1:23" ht="30" customHeight="1" x14ac:dyDescent="0.25">
      <c r="A34" s="195">
        <v>12</v>
      </c>
      <c r="B34" s="196"/>
      <c r="C34" s="195"/>
      <c r="D34" s="197"/>
      <c r="E34" s="197"/>
      <c r="F34" s="197"/>
      <c r="G34" s="197"/>
      <c r="H34" s="198"/>
      <c r="I34" s="199"/>
      <c r="J34" s="200"/>
      <c r="K34" s="201"/>
      <c r="L34" s="201"/>
      <c r="M34" s="201"/>
      <c r="N34" s="201"/>
      <c r="O34" s="201"/>
      <c r="P34" s="201"/>
      <c r="Q34" s="197"/>
      <c r="R34" s="197"/>
      <c r="S34" s="202"/>
      <c r="T34" s="197"/>
      <c r="U34" s="203"/>
      <c r="V34" s="204"/>
      <c r="W34" s="205"/>
    </row>
    <row r="35" spans="1:23" ht="30" customHeight="1" x14ac:dyDescent="0.25">
      <c r="A35" s="195">
        <v>13</v>
      </c>
      <c r="B35" s="196"/>
      <c r="C35" s="195"/>
      <c r="D35" s="197"/>
      <c r="E35" s="197"/>
      <c r="F35" s="197"/>
      <c r="G35" s="197"/>
      <c r="H35" s="198"/>
      <c r="I35" s="199"/>
      <c r="J35" s="200"/>
      <c r="K35" s="201"/>
      <c r="L35" s="201"/>
      <c r="M35" s="201"/>
      <c r="N35" s="201"/>
      <c r="O35" s="201"/>
      <c r="P35" s="201"/>
      <c r="Q35" s="197"/>
      <c r="R35" s="197"/>
      <c r="S35" s="202"/>
      <c r="T35" s="197"/>
      <c r="U35" s="203"/>
      <c r="V35" s="204"/>
      <c r="W35" s="205"/>
    </row>
    <row r="36" spans="1:23" ht="30" customHeight="1" x14ac:dyDescent="0.25">
      <c r="A36" s="195">
        <v>14</v>
      </c>
      <c r="B36" s="196"/>
      <c r="C36" s="195"/>
      <c r="D36" s="197"/>
      <c r="E36" s="197"/>
      <c r="F36" s="197"/>
      <c r="G36" s="197"/>
      <c r="H36" s="198"/>
      <c r="I36" s="199"/>
      <c r="J36" s="200"/>
      <c r="K36" s="201"/>
      <c r="L36" s="201"/>
      <c r="M36" s="201"/>
      <c r="N36" s="201"/>
      <c r="O36" s="201"/>
      <c r="P36" s="201"/>
      <c r="Q36" s="197"/>
      <c r="R36" s="197"/>
      <c r="S36" s="202"/>
      <c r="T36" s="197"/>
      <c r="U36" s="203"/>
      <c r="V36" s="204"/>
      <c r="W36" s="205"/>
    </row>
    <row r="37" spans="1:23" ht="30" customHeight="1" x14ac:dyDescent="0.25">
      <c r="A37" s="195">
        <v>15</v>
      </c>
      <c r="B37" s="196"/>
      <c r="C37" s="195"/>
      <c r="D37" s="197"/>
      <c r="E37" s="197"/>
      <c r="F37" s="197"/>
      <c r="G37" s="197"/>
      <c r="H37" s="198"/>
      <c r="I37" s="199"/>
      <c r="J37" s="200"/>
      <c r="K37" s="201"/>
      <c r="L37" s="201"/>
      <c r="M37" s="201"/>
      <c r="N37" s="201"/>
      <c r="O37" s="201"/>
      <c r="P37" s="201"/>
      <c r="Q37" s="197"/>
      <c r="R37" s="197"/>
      <c r="S37" s="202"/>
      <c r="T37" s="197"/>
      <c r="U37" s="203"/>
      <c r="V37" s="204"/>
      <c r="W37" s="205"/>
    </row>
    <row r="38" spans="1:23" ht="30" customHeight="1" x14ac:dyDescent="0.25">
      <c r="A38" s="195">
        <v>16</v>
      </c>
      <c r="B38" s="196"/>
      <c r="C38" s="195"/>
      <c r="D38" s="197"/>
      <c r="E38" s="197"/>
      <c r="F38" s="197"/>
      <c r="G38" s="197"/>
      <c r="H38" s="198"/>
      <c r="I38" s="199"/>
      <c r="J38" s="200"/>
      <c r="K38" s="201"/>
      <c r="L38" s="201"/>
      <c r="M38" s="201"/>
      <c r="N38" s="201"/>
      <c r="O38" s="201"/>
      <c r="P38" s="201"/>
      <c r="Q38" s="197"/>
      <c r="R38" s="197"/>
      <c r="S38" s="202"/>
      <c r="T38" s="197"/>
      <c r="U38" s="203"/>
      <c r="V38" s="204"/>
      <c r="W38" s="205"/>
    </row>
    <row r="39" spans="1:23" ht="30" customHeight="1" x14ac:dyDescent="0.25">
      <c r="A39" s="195">
        <v>17</v>
      </c>
      <c r="B39" s="196"/>
      <c r="C39" s="195"/>
      <c r="D39" s="197"/>
      <c r="E39" s="197"/>
      <c r="F39" s="197"/>
      <c r="G39" s="197"/>
      <c r="H39" s="198"/>
      <c r="I39" s="199"/>
      <c r="J39" s="200"/>
      <c r="K39" s="201"/>
      <c r="L39" s="201"/>
      <c r="M39" s="201"/>
      <c r="N39" s="201"/>
      <c r="O39" s="201"/>
      <c r="P39" s="201"/>
      <c r="Q39" s="197"/>
      <c r="R39" s="197"/>
      <c r="S39" s="202"/>
      <c r="T39" s="197"/>
      <c r="U39" s="203"/>
      <c r="V39" s="204"/>
      <c r="W39" s="205"/>
    </row>
    <row r="40" spans="1:23" ht="30" customHeight="1" x14ac:dyDescent="0.25">
      <c r="A40" s="195">
        <v>18</v>
      </c>
      <c r="B40" s="196"/>
      <c r="C40" s="195"/>
      <c r="D40" s="197"/>
      <c r="E40" s="197"/>
      <c r="F40" s="197"/>
      <c r="G40" s="197"/>
      <c r="H40" s="198"/>
      <c r="I40" s="199"/>
      <c r="J40" s="200"/>
      <c r="K40" s="201"/>
      <c r="L40" s="201"/>
      <c r="M40" s="201"/>
      <c r="N40" s="201"/>
      <c r="O40" s="201"/>
      <c r="P40" s="201"/>
      <c r="Q40" s="197"/>
      <c r="R40" s="197"/>
      <c r="S40" s="202"/>
      <c r="T40" s="197"/>
      <c r="U40" s="203"/>
      <c r="V40" s="204"/>
      <c r="W40" s="205"/>
    </row>
    <row r="41" spans="1:23" ht="30" customHeight="1" x14ac:dyDescent="0.25">
      <c r="A41" s="195">
        <v>19</v>
      </c>
      <c r="B41" s="196"/>
      <c r="C41" s="195"/>
      <c r="D41" s="197"/>
      <c r="E41" s="197"/>
      <c r="F41" s="197"/>
      <c r="G41" s="197"/>
      <c r="H41" s="198"/>
      <c r="I41" s="199"/>
      <c r="J41" s="200"/>
      <c r="K41" s="201"/>
      <c r="L41" s="201"/>
      <c r="M41" s="201"/>
      <c r="N41" s="201"/>
      <c r="O41" s="201"/>
      <c r="P41" s="201"/>
      <c r="Q41" s="197"/>
      <c r="R41" s="197"/>
      <c r="S41" s="202"/>
      <c r="T41" s="197"/>
      <c r="U41" s="203"/>
      <c r="V41" s="204"/>
      <c r="W41" s="205"/>
    </row>
    <row r="42" spans="1:23" ht="30" customHeight="1" x14ac:dyDescent="0.25">
      <c r="A42" s="195">
        <v>20</v>
      </c>
      <c r="B42" s="196"/>
      <c r="C42" s="195"/>
      <c r="D42" s="197"/>
      <c r="E42" s="197"/>
      <c r="F42" s="197"/>
      <c r="G42" s="197"/>
      <c r="H42" s="198"/>
      <c r="I42" s="199"/>
      <c r="J42" s="200"/>
      <c r="K42" s="201"/>
      <c r="L42" s="201"/>
      <c r="M42" s="201"/>
      <c r="N42" s="201"/>
      <c r="O42" s="201"/>
      <c r="P42" s="201"/>
      <c r="Q42" s="197"/>
      <c r="R42" s="197"/>
      <c r="S42" s="202"/>
      <c r="T42" s="197"/>
      <c r="U42" s="203"/>
      <c r="V42" s="204"/>
      <c r="W42" s="205"/>
    </row>
    <row r="43" spans="1:23" ht="30" customHeight="1" x14ac:dyDescent="0.25">
      <c r="A43" s="195">
        <v>21</v>
      </c>
      <c r="B43" s="196"/>
      <c r="C43" s="195"/>
      <c r="D43" s="197"/>
      <c r="E43" s="197"/>
      <c r="F43" s="197"/>
      <c r="G43" s="197"/>
      <c r="H43" s="198"/>
      <c r="I43" s="199"/>
      <c r="J43" s="200"/>
      <c r="K43" s="201"/>
      <c r="L43" s="201"/>
      <c r="M43" s="201"/>
      <c r="N43" s="201"/>
      <c r="O43" s="201"/>
      <c r="P43" s="201"/>
      <c r="Q43" s="197"/>
      <c r="R43" s="197"/>
      <c r="S43" s="202"/>
      <c r="T43" s="197"/>
      <c r="U43" s="203"/>
      <c r="V43" s="204"/>
      <c r="W43" s="205"/>
    </row>
    <row r="44" spans="1:23" ht="30" customHeight="1" x14ac:dyDescent="0.25">
      <c r="A44" s="195">
        <v>22</v>
      </c>
      <c r="B44" s="196"/>
      <c r="C44" s="195"/>
      <c r="D44" s="197"/>
      <c r="E44" s="197"/>
      <c r="F44" s="197"/>
      <c r="G44" s="197"/>
      <c r="H44" s="198"/>
      <c r="I44" s="199"/>
      <c r="J44" s="200"/>
      <c r="K44" s="201"/>
      <c r="L44" s="201"/>
      <c r="M44" s="201"/>
      <c r="N44" s="201"/>
      <c r="O44" s="201"/>
      <c r="P44" s="201"/>
      <c r="Q44" s="197"/>
      <c r="R44" s="197"/>
      <c r="S44" s="202"/>
      <c r="T44" s="197"/>
      <c r="U44" s="203"/>
      <c r="V44" s="204"/>
      <c r="W44" s="205"/>
    </row>
    <row r="45" spans="1:23" ht="30" customHeight="1" x14ac:dyDescent="0.25">
      <c r="A45" s="195">
        <v>23</v>
      </c>
      <c r="B45" s="196"/>
      <c r="C45" s="195"/>
      <c r="D45" s="197"/>
      <c r="E45" s="197"/>
      <c r="F45" s="197"/>
      <c r="G45" s="197"/>
      <c r="H45" s="198"/>
      <c r="I45" s="199"/>
      <c r="J45" s="200"/>
      <c r="K45" s="201"/>
      <c r="L45" s="201"/>
      <c r="M45" s="201"/>
      <c r="N45" s="201"/>
      <c r="O45" s="201"/>
      <c r="P45" s="201"/>
      <c r="Q45" s="197"/>
      <c r="R45" s="197"/>
      <c r="S45" s="202"/>
      <c r="T45" s="197"/>
      <c r="U45" s="203"/>
      <c r="V45" s="204"/>
      <c r="W45" s="205"/>
    </row>
    <row r="46" spans="1:23" ht="30" customHeight="1" x14ac:dyDescent="0.25">
      <c r="A46" s="195">
        <v>24</v>
      </c>
      <c r="B46" s="196"/>
      <c r="C46" s="195"/>
      <c r="D46" s="197"/>
      <c r="E46" s="197"/>
      <c r="F46" s="197"/>
      <c r="G46" s="197"/>
      <c r="H46" s="198"/>
      <c r="I46" s="199"/>
      <c r="J46" s="200"/>
      <c r="K46" s="201"/>
      <c r="L46" s="201"/>
      <c r="M46" s="201"/>
      <c r="N46" s="201"/>
      <c r="O46" s="201"/>
      <c r="P46" s="201"/>
      <c r="Q46" s="197"/>
      <c r="R46" s="197"/>
      <c r="S46" s="202"/>
      <c r="T46" s="197"/>
      <c r="U46" s="203"/>
      <c r="V46" s="204"/>
      <c r="W46" s="205"/>
    </row>
    <row r="47" spans="1:23" ht="30" customHeight="1" x14ac:dyDescent="0.25">
      <c r="A47" s="195">
        <v>25</v>
      </c>
      <c r="B47" s="196"/>
      <c r="C47" s="195"/>
      <c r="D47" s="197"/>
      <c r="E47" s="197"/>
      <c r="F47" s="197"/>
      <c r="G47" s="197"/>
      <c r="H47" s="198"/>
      <c r="I47" s="199"/>
      <c r="J47" s="200"/>
      <c r="K47" s="201"/>
      <c r="L47" s="201"/>
      <c r="M47" s="201"/>
      <c r="N47" s="201"/>
      <c r="O47" s="201"/>
      <c r="P47" s="201"/>
      <c r="Q47" s="197"/>
      <c r="R47" s="197"/>
      <c r="S47" s="202"/>
      <c r="T47" s="197"/>
      <c r="U47" s="203"/>
      <c r="V47" s="204"/>
      <c r="W47" s="205"/>
    </row>
    <row r="48" spans="1:23" ht="30" customHeight="1" x14ac:dyDescent="0.25">
      <c r="A48" s="195">
        <v>26</v>
      </c>
      <c r="B48" s="196"/>
      <c r="C48" s="195"/>
      <c r="D48" s="197"/>
      <c r="E48" s="197"/>
      <c r="F48" s="197"/>
      <c r="G48" s="197"/>
      <c r="H48" s="198"/>
      <c r="I48" s="199"/>
      <c r="J48" s="200"/>
      <c r="K48" s="201"/>
      <c r="L48" s="201"/>
      <c r="M48" s="201"/>
      <c r="N48" s="201"/>
      <c r="O48" s="201"/>
      <c r="P48" s="201"/>
      <c r="Q48" s="197"/>
      <c r="R48" s="197"/>
      <c r="S48" s="202"/>
      <c r="T48" s="197"/>
      <c r="U48" s="203"/>
      <c r="V48" s="204"/>
      <c r="W48" s="205"/>
    </row>
    <row r="49" spans="1:23" ht="30" customHeight="1" x14ac:dyDescent="0.25">
      <c r="A49" s="195">
        <v>27</v>
      </c>
      <c r="B49" s="196"/>
      <c r="C49" s="195"/>
      <c r="D49" s="197"/>
      <c r="E49" s="197"/>
      <c r="F49" s="197"/>
      <c r="G49" s="197"/>
      <c r="H49" s="198"/>
      <c r="I49" s="199"/>
      <c r="J49" s="200"/>
      <c r="K49" s="201"/>
      <c r="L49" s="201"/>
      <c r="M49" s="201"/>
      <c r="N49" s="201"/>
      <c r="O49" s="201"/>
      <c r="P49" s="201"/>
      <c r="Q49" s="197"/>
      <c r="R49" s="197"/>
      <c r="S49" s="202"/>
      <c r="T49" s="197"/>
      <c r="U49" s="203"/>
      <c r="V49" s="204"/>
      <c r="W49" s="205"/>
    </row>
    <row r="50" spans="1:23" ht="30" customHeight="1" x14ac:dyDescent="0.25">
      <c r="A50" s="195">
        <v>28</v>
      </c>
      <c r="B50" s="196"/>
      <c r="C50" s="195"/>
      <c r="D50" s="197"/>
      <c r="E50" s="197"/>
      <c r="F50" s="197"/>
      <c r="G50" s="197"/>
      <c r="H50" s="198"/>
      <c r="I50" s="199"/>
      <c r="J50" s="200"/>
      <c r="K50" s="201"/>
      <c r="L50" s="201"/>
      <c r="M50" s="201"/>
      <c r="N50" s="201"/>
      <c r="O50" s="201"/>
      <c r="P50" s="201"/>
      <c r="Q50" s="197"/>
      <c r="R50" s="197"/>
      <c r="S50" s="202"/>
      <c r="T50" s="197"/>
      <c r="U50" s="203"/>
      <c r="V50" s="204"/>
      <c r="W50" s="205"/>
    </row>
    <row r="51" spans="1:23" ht="30" customHeight="1" x14ac:dyDescent="0.25">
      <c r="A51" s="195">
        <v>29</v>
      </c>
      <c r="B51" s="196"/>
      <c r="C51" s="195"/>
      <c r="D51" s="197"/>
      <c r="E51" s="197"/>
      <c r="F51" s="197"/>
      <c r="G51" s="197"/>
      <c r="H51" s="198"/>
      <c r="I51" s="199"/>
      <c r="J51" s="200"/>
      <c r="K51" s="201"/>
      <c r="L51" s="201"/>
      <c r="M51" s="201"/>
      <c r="N51" s="201"/>
      <c r="O51" s="201"/>
      <c r="P51" s="201"/>
      <c r="Q51" s="197"/>
      <c r="R51" s="197"/>
      <c r="S51" s="202"/>
      <c r="T51" s="197"/>
      <c r="U51" s="203"/>
      <c r="V51" s="204"/>
      <c r="W51" s="205"/>
    </row>
    <row r="52" spans="1:23" ht="30" customHeight="1" x14ac:dyDescent="0.25">
      <c r="A52" s="195">
        <v>30</v>
      </c>
      <c r="B52" s="196"/>
      <c r="C52" s="195"/>
      <c r="D52" s="197"/>
      <c r="E52" s="197"/>
      <c r="F52" s="197"/>
      <c r="G52" s="197"/>
      <c r="H52" s="198"/>
      <c r="I52" s="199"/>
      <c r="J52" s="200"/>
      <c r="K52" s="201"/>
      <c r="L52" s="201"/>
      <c r="M52" s="201"/>
      <c r="N52" s="201"/>
      <c r="O52" s="201"/>
      <c r="P52" s="201"/>
      <c r="Q52" s="197"/>
      <c r="R52" s="197"/>
      <c r="S52" s="202"/>
      <c r="T52" s="197"/>
      <c r="U52" s="203"/>
      <c r="V52" s="204"/>
      <c r="W52" s="205"/>
    </row>
    <row r="53" spans="1:23" ht="30" customHeight="1" x14ac:dyDescent="0.25">
      <c r="A53" s="195">
        <v>31</v>
      </c>
      <c r="B53" s="196"/>
      <c r="C53" s="195"/>
      <c r="D53" s="197"/>
      <c r="E53" s="197"/>
      <c r="F53" s="197"/>
      <c r="G53" s="197"/>
      <c r="H53" s="198"/>
      <c r="I53" s="199"/>
      <c r="J53" s="200"/>
      <c r="K53" s="201"/>
      <c r="L53" s="201"/>
      <c r="M53" s="201"/>
      <c r="N53" s="201"/>
      <c r="O53" s="201"/>
      <c r="P53" s="201"/>
      <c r="Q53" s="197"/>
      <c r="R53" s="197"/>
      <c r="S53" s="202"/>
      <c r="T53" s="197"/>
      <c r="U53" s="203"/>
      <c r="V53" s="204"/>
      <c r="W53" s="205"/>
    </row>
    <row r="54" spans="1:23" ht="30" customHeight="1" x14ac:dyDescent="0.25">
      <c r="A54" s="195">
        <v>32</v>
      </c>
      <c r="B54" s="196"/>
      <c r="C54" s="195"/>
      <c r="D54" s="197"/>
      <c r="E54" s="197"/>
      <c r="F54" s="197"/>
      <c r="G54" s="197"/>
      <c r="H54" s="198"/>
      <c r="I54" s="199"/>
      <c r="J54" s="200"/>
      <c r="K54" s="201"/>
      <c r="L54" s="201"/>
      <c r="M54" s="201"/>
      <c r="N54" s="201"/>
      <c r="O54" s="201"/>
      <c r="P54" s="201"/>
      <c r="Q54" s="197"/>
      <c r="R54" s="197"/>
      <c r="S54" s="202"/>
      <c r="T54" s="197"/>
      <c r="U54" s="203"/>
      <c r="V54" s="204"/>
      <c r="W54" s="205"/>
    </row>
    <row r="55" spans="1:23" ht="30" customHeight="1" x14ac:dyDescent="0.25">
      <c r="A55" s="195">
        <v>33</v>
      </c>
      <c r="B55" s="196"/>
      <c r="C55" s="195"/>
      <c r="D55" s="197"/>
      <c r="E55" s="197"/>
      <c r="F55" s="197"/>
      <c r="G55" s="197"/>
      <c r="H55" s="198"/>
      <c r="I55" s="199"/>
      <c r="J55" s="200"/>
      <c r="K55" s="201"/>
      <c r="L55" s="201"/>
      <c r="M55" s="201"/>
      <c r="N55" s="201"/>
      <c r="O55" s="201"/>
      <c r="P55" s="201"/>
      <c r="Q55" s="197"/>
      <c r="R55" s="197"/>
      <c r="S55" s="202"/>
      <c r="T55" s="197"/>
      <c r="U55" s="203"/>
      <c r="V55" s="204"/>
      <c r="W55" s="205"/>
    </row>
    <row r="56" spans="1:23" ht="30" customHeight="1" x14ac:dyDescent="0.25">
      <c r="A56" s="195">
        <v>34</v>
      </c>
      <c r="B56" s="196"/>
      <c r="C56" s="195"/>
      <c r="D56" s="197"/>
      <c r="E56" s="197"/>
      <c r="F56" s="197"/>
      <c r="G56" s="197"/>
      <c r="H56" s="198"/>
      <c r="I56" s="199"/>
      <c r="J56" s="200"/>
      <c r="K56" s="201"/>
      <c r="L56" s="201"/>
      <c r="M56" s="201"/>
      <c r="N56" s="201"/>
      <c r="O56" s="201"/>
      <c r="P56" s="201"/>
      <c r="Q56" s="197"/>
      <c r="R56" s="197"/>
      <c r="S56" s="202"/>
      <c r="T56" s="197"/>
      <c r="U56" s="203"/>
      <c r="V56" s="204"/>
      <c r="W56" s="205"/>
    </row>
    <row r="57" spans="1:23" ht="30" customHeight="1" x14ac:dyDescent="0.25">
      <c r="A57" s="195">
        <v>35</v>
      </c>
      <c r="B57" s="196"/>
      <c r="C57" s="195"/>
      <c r="D57" s="197"/>
      <c r="E57" s="197"/>
      <c r="F57" s="197"/>
      <c r="G57" s="197"/>
      <c r="H57" s="198"/>
      <c r="I57" s="199"/>
      <c r="J57" s="200"/>
      <c r="K57" s="201"/>
      <c r="L57" s="201"/>
      <c r="M57" s="201"/>
      <c r="N57" s="201"/>
      <c r="O57" s="201"/>
      <c r="P57" s="201"/>
      <c r="Q57" s="197"/>
      <c r="R57" s="197"/>
      <c r="S57" s="202"/>
      <c r="T57" s="197"/>
      <c r="U57" s="203"/>
      <c r="V57" s="204"/>
      <c r="W57" s="205"/>
    </row>
    <row r="58" spans="1:23" ht="30" customHeight="1" x14ac:dyDescent="0.25">
      <c r="A58" s="195">
        <v>36</v>
      </c>
      <c r="B58" s="196"/>
      <c r="C58" s="195"/>
      <c r="D58" s="197"/>
      <c r="E58" s="197"/>
      <c r="F58" s="197"/>
      <c r="G58" s="197"/>
      <c r="H58" s="198"/>
      <c r="I58" s="199"/>
      <c r="J58" s="200"/>
      <c r="K58" s="201"/>
      <c r="L58" s="201"/>
      <c r="M58" s="201"/>
      <c r="N58" s="201"/>
      <c r="O58" s="201"/>
      <c r="P58" s="201"/>
      <c r="Q58" s="197"/>
      <c r="R58" s="197"/>
      <c r="S58" s="202"/>
      <c r="T58" s="197"/>
      <c r="U58" s="203"/>
      <c r="V58" s="204"/>
      <c r="W58" s="205"/>
    </row>
    <row r="59" spans="1:23" ht="30" customHeight="1" x14ac:dyDescent="0.25">
      <c r="A59" s="195">
        <v>37</v>
      </c>
      <c r="B59" s="196"/>
      <c r="C59" s="195"/>
      <c r="D59" s="197"/>
      <c r="E59" s="197"/>
      <c r="F59" s="197"/>
      <c r="G59" s="197"/>
      <c r="H59" s="198"/>
      <c r="I59" s="199"/>
      <c r="J59" s="200"/>
      <c r="K59" s="201"/>
      <c r="L59" s="201"/>
      <c r="M59" s="201"/>
      <c r="N59" s="201"/>
      <c r="O59" s="201"/>
      <c r="P59" s="201"/>
      <c r="Q59" s="197"/>
      <c r="R59" s="197"/>
      <c r="S59" s="202"/>
      <c r="T59" s="197"/>
      <c r="U59" s="203"/>
      <c r="V59" s="204"/>
      <c r="W59" s="205"/>
    </row>
    <row r="60" spans="1:23" ht="30" customHeight="1" x14ac:dyDescent="0.25">
      <c r="A60" s="195">
        <v>38</v>
      </c>
      <c r="B60" s="196"/>
      <c r="C60" s="195"/>
      <c r="D60" s="197"/>
      <c r="E60" s="197"/>
      <c r="F60" s="197"/>
      <c r="G60" s="197"/>
      <c r="H60" s="198"/>
      <c r="I60" s="199"/>
      <c r="J60" s="200"/>
      <c r="K60" s="201"/>
      <c r="L60" s="201"/>
      <c r="M60" s="201"/>
      <c r="N60" s="201"/>
      <c r="O60" s="201"/>
      <c r="P60" s="201"/>
      <c r="Q60" s="197"/>
      <c r="R60" s="197"/>
      <c r="S60" s="202"/>
      <c r="T60" s="197"/>
      <c r="U60" s="203"/>
      <c r="V60" s="204"/>
      <c r="W60" s="205"/>
    </row>
    <row r="61" spans="1:23" ht="30" customHeight="1" x14ac:dyDescent="0.25">
      <c r="A61" s="195">
        <v>39</v>
      </c>
      <c r="B61" s="196"/>
      <c r="C61" s="195"/>
      <c r="D61" s="197"/>
      <c r="E61" s="197"/>
      <c r="F61" s="197"/>
      <c r="G61" s="197"/>
      <c r="H61" s="198"/>
      <c r="I61" s="199"/>
      <c r="J61" s="200"/>
      <c r="K61" s="201"/>
      <c r="L61" s="201"/>
      <c r="M61" s="201"/>
      <c r="N61" s="201"/>
      <c r="O61" s="201"/>
      <c r="P61" s="201"/>
      <c r="Q61" s="197"/>
      <c r="R61" s="197"/>
      <c r="S61" s="202"/>
      <c r="T61" s="197"/>
      <c r="U61" s="203"/>
      <c r="V61" s="204"/>
      <c r="W61" s="205"/>
    </row>
    <row r="62" spans="1:23" ht="30" customHeight="1" x14ac:dyDescent="0.25">
      <c r="A62" s="195">
        <v>40</v>
      </c>
      <c r="B62" s="196"/>
      <c r="C62" s="195"/>
      <c r="D62" s="197"/>
      <c r="E62" s="197"/>
      <c r="F62" s="197"/>
      <c r="G62" s="197"/>
      <c r="H62" s="198"/>
      <c r="I62" s="199"/>
      <c r="J62" s="200"/>
      <c r="K62" s="201"/>
      <c r="L62" s="201"/>
      <c r="M62" s="201"/>
      <c r="N62" s="201"/>
      <c r="O62" s="201"/>
      <c r="P62" s="201"/>
      <c r="Q62" s="197"/>
      <c r="R62" s="197"/>
      <c r="S62" s="202"/>
      <c r="T62" s="197"/>
      <c r="U62" s="203"/>
      <c r="V62" s="204"/>
      <c r="W62" s="205"/>
    </row>
    <row r="63" spans="1:23" ht="30" customHeight="1" x14ac:dyDescent="0.25">
      <c r="A63" s="195">
        <v>41</v>
      </c>
      <c r="B63" s="196"/>
      <c r="C63" s="195"/>
      <c r="D63" s="197"/>
      <c r="E63" s="197"/>
      <c r="F63" s="197"/>
      <c r="G63" s="197"/>
      <c r="H63" s="198"/>
      <c r="I63" s="199"/>
      <c r="J63" s="200"/>
      <c r="K63" s="201"/>
      <c r="L63" s="201"/>
      <c r="M63" s="201"/>
      <c r="N63" s="201"/>
      <c r="O63" s="201"/>
      <c r="P63" s="201"/>
      <c r="Q63" s="197"/>
      <c r="R63" s="197"/>
      <c r="S63" s="202"/>
      <c r="T63" s="197"/>
      <c r="U63" s="203"/>
      <c r="V63" s="204"/>
      <c r="W63" s="205"/>
    </row>
    <row r="64" spans="1:23" ht="30" customHeight="1" x14ac:dyDescent="0.25">
      <c r="A64" s="195">
        <v>42</v>
      </c>
      <c r="B64" s="196"/>
      <c r="C64" s="195"/>
      <c r="D64" s="197"/>
      <c r="E64" s="197"/>
      <c r="F64" s="197"/>
      <c r="G64" s="197"/>
      <c r="H64" s="198"/>
      <c r="I64" s="199"/>
      <c r="J64" s="200"/>
      <c r="K64" s="201"/>
      <c r="L64" s="201"/>
      <c r="M64" s="201"/>
      <c r="N64" s="201"/>
      <c r="O64" s="201"/>
      <c r="P64" s="201"/>
      <c r="Q64" s="197"/>
      <c r="R64" s="197"/>
      <c r="S64" s="202"/>
      <c r="T64" s="197"/>
      <c r="U64" s="203"/>
      <c r="V64" s="204"/>
      <c r="W64" s="205"/>
    </row>
    <row r="65" spans="1:23" ht="30" customHeight="1" x14ac:dyDescent="0.25">
      <c r="A65" s="195">
        <v>43</v>
      </c>
      <c r="B65" s="196"/>
      <c r="C65" s="195"/>
      <c r="D65" s="197"/>
      <c r="E65" s="197"/>
      <c r="F65" s="197"/>
      <c r="G65" s="197"/>
      <c r="H65" s="198"/>
      <c r="I65" s="199"/>
      <c r="J65" s="200"/>
      <c r="K65" s="201"/>
      <c r="L65" s="201"/>
      <c r="M65" s="201"/>
      <c r="N65" s="201"/>
      <c r="O65" s="201"/>
      <c r="P65" s="201"/>
      <c r="Q65" s="197"/>
      <c r="R65" s="197"/>
      <c r="S65" s="202"/>
      <c r="T65" s="197"/>
      <c r="U65" s="203"/>
      <c r="V65" s="204"/>
      <c r="W65" s="205"/>
    </row>
    <row r="66" spans="1:23" ht="30" customHeight="1" x14ac:dyDescent="0.25">
      <c r="A66" s="195">
        <v>44</v>
      </c>
      <c r="B66" s="196"/>
      <c r="C66" s="195"/>
      <c r="D66" s="197"/>
      <c r="E66" s="197"/>
      <c r="F66" s="197"/>
      <c r="G66" s="197"/>
      <c r="H66" s="198"/>
      <c r="I66" s="199"/>
      <c r="J66" s="200"/>
      <c r="K66" s="201"/>
      <c r="L66" s="201"/>
      <c r="M66" s="201"/>
      <c r="N66" s="201"/>
      <c r="O66" s="201"/>
      <c r="P66" s="201"/>
      <c r="Q66" s="197"/>
      <c r="R66" s="197"/>
      <c r="S66" s="202"/>
      <c r="T66" s="197"/>
      <c r="U66" s="203"/>
      <c r="V66" s="204"/>
      <c r="W66" s="205"/>
    </row>
    <row r="67" spans="1:23" ht="30" customHeight="1" x14ac:dyDescent="0.25">
      <c r="A67" s="195">
        <v>45</v>
      </c>
      <c r="B67" s="196"/>
      <c r="C67" s="195"/>
      <c r="D67" s="197"/>
      <c r="E67" s="197"/>
      <c r="F67" s="197"/>
      <c r="G67" s="197"/>
      <c r="H67" s="198"/>
      <c r="I67" s="199"/>
      <c r="J67" s="200"/>
      <c r="K67" s="201"/>
      <c r="L67" s="201"/>
      <c r="M67" s="201"/>
      <c r="N67" s="201"/>
      <c r="O67" s="201"/>
      <c r="P67" s="201"/>
      <c r="Q67" s="197"/>
      <c r="R67" s="197"/>
      <c r="S67" s="202"/>
      <c r="T67" s="197"/>
      <c r="U67" s="203"/>
      <c r="V67" s="204"/>
      <c r="W67" s="205"/>
    </row>
    <row r="68" spans="1:23" ht="30" customHeight="1" x14ac:dyDescent="0.25">
      <c r="A68" s="195">
        <v>46</v>
      </c>
      <c r="B68" s="196"/>
      <c r="C68" s="195"/>
      <c r="D68" s="197"/>
      <c r="E68" s="197"/>
      <c r="F68" s="197"/>
      <c r="G68" s="197"/>
      <c r="H68" s="198"/>
      <c r="I68" s="199"/>
      <c r="J68" s="200"/>
      <c r="K68" s="201"/>
      <c r="L68" s="201"/>
      <c r="M68" s="201"/>
      <c r="N68" s="201"/>
      <c r="O68" s="201"/>
      <c r="P68" s="201"/>
      <c r="Q68" s="197"/>
      <c r="R68" s="197"/>
      <c r="S68" s="202"/>
      <c r="T68" s="197"/>
      <c r="U68" s="203"/>
      <c r="V68" s="204"/>
      <c r="W68" s="205"/>
    </row>
    <row r="69" spans="1:23" ht="30" customHeight="1" x14ac:dyDescent="0.25">
      <c r="A69" s="195">
        <v>47</v>
      </c>
      <c r="B69" s="196"/>
      <c r="C69" s="195"/>
      <c r="D69" s="197"/>
      <c r="E69" s="197"/>
      <c r="F69" s="197"/>
      <c r="G69" s="197"/>
      <c r="H69" s="198"/>
      <c r="I69" s="199"/>
      <c r="J69" s="200"/>
      <c r="K69" s="201"/>
      <c r="L69" s="201"/>
      <c r="M69" s="201"/>
      <c r="N69" s="201"/>
      <c r="O69" s="201"/>
      <c r="P69" s="201"/>
      <c r="Q69" s="197"/>
      <c r="R69" s="197"/>
      <c r="S69" s="202"/>
      <c r="T69" s="197"/>
      <c r="U69" s="203"/>
      <c r="V69" s="204"/>
      <c r="W69" s="205"/>
    </row>
    <row r="70" spans="1:23" ht="30" customHeight="1" x14ac:dyDescent="0.25">
      <c r="A70" s="195">
        <v>48</v>
      </c>
      <c r="B70" s="196"/>
      <c r="C70" s="195"/>
      <c r="D70" s="197"/>
      <c r="E70" s="197"/>
      <c r="F70" s="197"/>
      <c r="G70" s="197"/>
      <c r="H70" s="198"/>
      <c r="I70" s="199"/>
      <c r="J70" s="200"/>
      <c r="K70" s="201"/>
      <c r="L70" s="201"/>
      <c r="M70" s="201"/>
      <c r="N70" s="201"/>
      <c r="O70" s="201"/>
      <c r="P70" s="201"/>
      <c r="Q70" s="197"/>
      <c r="R70" s="197"/>
      <c r="S70" s="202"/>
      <c r="T70" s="197"/>
      <c r="U70" s="203"/>
      <c r="V70" s="204"/>
      <c r="W70" s="205"/>
    </row>
    <row r="71" spans="1:23" ht="30" customHeight="1" x14ac:dyDescent="0.25">
      <c r="A71" s="195">
        <v>49</v>
      </c>
      <c r="B71" s="196"/>
      <c r="C71" s="195"/>
      <c r="D71" s="197"/>
      <c r="E71" s="197"/>
      <c r="F71" s="197"/>
      <c r="G71" s="197"/>
      <c r="H71" s="198"/>
      <c r="I71" s="199"/>
      <c r="J71" s="200"/>
      <c r="K71" s="201"/>
      <c r="L71" s="201"/>
      <c r="M71" s="201"/>
      <c r="N71" s="201"/>
      <c r="O71" s="201"/>
      <c r="P71" s="201"/>
      <c r="Q71" s="197"/>
      <c r="R71" s="197"/>
      <c r="S71" s="202"/>
      <c r="T71" s="197"/>
      <c r="U71" s="203"/>
      <c r="V71" s="204"/>
      <c r="W71" s="205"/>
    </row>
    <row r="72" spans="1:23" ht="30" customHeight="1" x14ac:dyDescent="0.25">
      <c r="A72" s="195">
        <v>50</v>
      </c>
      <c r="B72" s="196"/>
      <c r="C72" s="195"/>
      <c r="D72" s="197"/>
      <c r="E72" s="197"/>
      <c r="F72" s="197"/>
      <c r="G72" s="197"/>
      <c r="H72" s="198"/>
      <c r="I72" s="199"/>
      <c r="J72" s="200"/>
      <c r="K72" s="201"/>
      <c r="L72" s="201"/>
      <c r="M72" s="201"/>
      <c r="N72" s="201"/>
      <c r="O72" s="201"/>
      <c r="P72" s="201"/>
      <c r="Q72" s="197"/>
      <c r="R72" s="197"/>
      <c r="S72" s="202"/>
      <c r="T72" s="197"/>
      <c r="U72" s="203"/>
      <c r="V72" s="204"/>
      <c r="W72" s="205"/>
    </row>
    <row r="73" spans="1:23" ht="30" customHeight="1" x14ac:dyDescent="0.25">
      <c r="A73" s="195">
        <v>51</v>
      </c>
      <c r="B73" s="196"/>
      <c r="C73" s="195"/>
      <c r="D73" s="197"/>
      <c r="E73" s="197"/>
      <c r="F73" s="197"/>
      <c r="G73" s="197"/>
      <c r="H73" s="198"/>
      <c r="I73" s="199"/>
      <c r="J73" s="200"/>
      <c r="K73" s="201"/>
      <c r="L73" s="201"/>
      <c r="M73" s="201"/>
      <c r="N73" s="201"/>
      <c r="O73" s="201"/>
      <c r="P73" s="201"/>
      <c r="Q73" s="197"/>
      <c r="R73" s="197"/>
      <c r="S73" s="202"/>
      <c r="T73" s="197"/>
      <c r="U73" s="203"/>
      <c r="V73" s="204"/>
      <c r="W73" s="205"/>
    </row>
    <row r="74" spans="1:23" ht="30" customHeight="1" x14ac:dyDescent="0.25">
      <c r="A74" s="195">
        <v>52</v>
      </c>
      <c r="B74" s="196"/>
      <c r="C74" s="195"/>
      <c r="D74" s="197"/>
      <c r="E74" s="197"/>
      <c r="F74" s="197"/>
      <c r="G74" s="197"/>
      <c r="H74" s="198"/>
      <c r="I74" s="199"/>
      <c r="J74" s="200"/>
      <c r="K74" s="201"/>
      <c r="L74" s="201"/>
      <c r="M74" s="201"/>
      <c r="N74" s="201"/>
      <c r="O74" s="201"/>
      <c r="P74" s="201"/>
      <c r="Q74" s="197"/>
      <c r="R74" s="197"/>
      <c r="S74" s="202"/>
      <c r="T74" s="197"/>
      <c r="U74" s="203"/>
      <c r="V74" s="204"/>
      <c r="W74" s="205"/>
    </row>
    <row r="75" spans="1:23" ht="30" customHeight="1" x14ac:dyDescent="0.25">
      <c r="A75" s="195">
        <v>53</v>
      </c>
      <c r="B75" s="196"/>
      <c r="C75" s="195"/>
      <c r="D75" s="197"/>
      <c r="E75" s="197"/>
      <c r="F75" s="197"/>
      <c r="G75" s="197"/>
      <c r="H75" s="198"/>
      <c r="I75" s="199"/>
      <c r="J75" s="200"/>
      <c r="K75" s="201"/>
      <c r="L75" s="201"/>
      <c r="M75" s="201"/>
      <c r="N75" s="201"/>
      <c r="O75" s="201"/>
      <c r="P75" s="201"/>
      <c r="Q75" s="197"/>
      <c r="R75" s="197"/>
      <c r="S75" s="202"/>
      <c r="T75" s="197"/>
      <c r="U75" s="203"/>
      <c r="V75" s="204"/>
      <c r="W75" s="205"/>
    </row>
    <row r="76" spans="1:23" ht="30" customHeight="1" x14ac:dyDescent="0.25">
      <c r="A76" s="195">
        <v>54</v>
      </c>
      <c r="B76" s="196"/>
      <c r="C76" s="195"/>
      <c r="D76" s="197"/>
      <c r="E76" s="197"/>
      <c r="F76" s="197"/>
      <c r="G76" s="197"/>
      <c r="H76" s="198"/>
      <c r="I76" s="199"/>
      <c r="J76" s="200"/>
      <c r="K76" s="201"/>
      <c r="L76" s="201"/>
      <c r="M76" s="201"/>
      <c r="N76" s="201"/>
      <c r="O76" s="201"/>
      <c r="P76" s="201"/>
      <c r="Q76" s="197"/>
      <c r="R76" s="197"/>
      <c r="S76" s="202"/>
      <c r="T76" s="197"/>
      <c r="U76" s="203"/>
      <c r="V76" s="204"/>
      <c r="W76" s="205"/>
    </row>
    <row r="77" spans="1:23" ht="30" customHeight="1" x14ac:dyDescent="0.25">
      <c r="A77" s="195">
        <v>55</v>
      </c>
      <c r="B77" s="196"/>
      <c r="C77" s="195"/>
      <c r="D77" s="197"/>
      <c r="E77" s="197"/>
      <c r="F77" s="197"/>
      <c r="G77" s="197"/>
      <c r="H77" s="198"/>
      <c r="I77" s="199"/>
      <c r="J77" s="200"/>
      <c r="K77" s="201"/>
      <c r="L77" s="201"/>
      <c r="M77" s="201"/>
      <c r="N77" s="201"/>
      <c r="O77" s="201"/>
      <c r="P77" s="201"/>
      <c r="Q77" s="197"/>
      <c r="R77" s="197"/>
      <c r="S77" s="202"/>
      <c r="T77" s="197"/>
      <c r="U77" s="203"/>
      <c r="V77" s="204"/>
      <c r="W77" s="205"/>
    </row>
    <row r="78" spans="1:23" ht="30" customHeight="1" x14ac:dyDescent="0.25">
      <c r="A78" s="195">
        <v>56</v>
      </c>
      <c r="B78" s="196"/>
      <c r="C78" s="195"/>
      <c r="D78" s="197"/>
      <c r="E78" s="197"/>
      <c r="F78" s="197"/>
      <c r="G78" s="197"/>
      <c r="H78" s="198"/>
      <c r="I78" s="199"/>
      <c r="J78" s="200"/>
      <c r="K78" s="201"/>
      <c r="L78" s="201"/>
      <c r="M78" s="201"/>
      <c r="N78" s="201"/>
      <c r="O78" s="201"/>
      <c r="P78" s="201"/>
      <c r="Q78" s="197"/>
      <c r="R78" s="197"/>
      <c r="S78" s="202"/>
      <c r="T78" s="197"/>
      <c r="U78" s="203"/>
      <c r="V78" s="204"/>
      <c r="W78" s="205"/>
    </row>
    <row r="79" spans="1:23" ht="30" customHeight="1" x14ac:dyDescent="0.25">
      <c r="A79" s="195">
        <v>57</v>
      </c>
      <c r="B79" s="196"/>
      <c r="C79" s="195"/>
      <c r="D79" s="197"/>
      <c r="E79" s="197"/>
      <c r="F79" s="197"/>
      <c r="G79" s="197"/>
      <c r="H79" s="198"/>
      <c r="I79" s="199"/>
      <c r="J79" s="200"/>
      <c r="K79" s="201"/>
      <c r="L79" s="201"/>
      <c r="M79" s="201"/>
      <c r="N79" s="201"/>
      <c r="O79" s="201"/>
      <c r="P79" s="201"/>
      <c r="Q79" s="197"/>
      <c r="R79" s="197"/>
      <c r="S79" s="202"/>
      <c r="T79" s="197"/>
      <c r="U79" s="203"/>
      <c r="V79" s="204"/>
      <c r="W79" s="205"/>
    </row>
    <row r="80" spans="1:23" ht="30" customHeight="1" x14ac:dyDescent="0.25">
      <c r="A80" s="195">
        <v>58</v>
      </c>
      <c r="B80" s="196"/>
      <c r="C80" s="195"/>
      <c r="D80" s="197"/>
      <c r="E80" s="197"/>
      <c r="F80" s="197"/>
      <c r="G80" s="197"/>
      <c r="H80" s="198"/>
      <c r="I80" s="199"/>
      <c r="J80" s="200"/>
      <c r="K80" s="201"/>
      <c r="L80" s="201"/>
      <c r="M80" s="201"/>
      <c r="N80" s="201"/>
      <c r="O80" s="201"/>
      <c r="P80" s="201"/>
      <c r="Q80" s="197"/>
      <c r="R80" s="197"/>
      <c r="S80" s="202"/>
      <c r="T80" s="197"/>
      <c r="U80" s="203"/>
      <c r="V80" s="204"/>
      <c r="W80" s="205"/>
    </row>
    <row r="81" spans="1:23" ht="30" customHeight="1" x14ac:dyDescent="0.25">
      <c r="A81" s="195">
        <v>59</v>
      </c>
      <c r="B81" s="196"/>
      <c r="C81" s="195"/>
      <c r="D81" s="197"/>
      <c r="E81" s="197"/>
      <c r="F81" s="197"/>
      <c r="G81" s="197"/>
      <c r="H81" s="198"/>
      <c r="I81" s="199"/>
      <c r="J81" s="200"/>
      <c r="K81" s="201"/>
      <c r="L81" s="201"/>
      <c r="M81" s="201"/>
      <c r="N81" s="201"/>
      <c r="O81" s="201"/>
      <c r="P81" s="201"/>
      <c r="Q81" s="197"/>
      <c r="R81" s="197"/>
      <c r="S81" s="202"/>
      <c r="T81" s="197"/>
      <c r="U81" s="203"/>
      <c r="V81" s="204"/>
      <c r="W81" s="205"/>
    </row>
    <row r="82" spans="1:23" ht="30" customHeight="1" x14ac:dyDescent="0.25">
      <c r="A82" s="195">
        <v>60</v>
      </c>
      <c r="B82" s="196"/>
      <c r="C82" s="195"/>
      <c r="D82" s="197"/>
      <c r="E82" s="197"/>
      <c r="F82" s="197"/>
      <c r="G82" s="197"/>
      <c r="H82" s="198"/>
      <c r="I82" s="199"/>
      <c r="J82" s="200"/>
      <c r="K82" s="201"/>
      <c r="L82" s="201"/>
      <c r="M82" s="201"/>
      <c r="N82" s="201"/>
      <c r="O82" s="201"/>
      <c r="P82" s="201"/>
      <c r="Q82" s="197"/>
      <c r="R82" s="197"/>
      <c r="S82" s="202"/>
      <c r="T82" s="197"/>
      <c r="U82" s="203"/>
      <c r="V82" s="204"/>
      <c r="W82" s="205"/>
    </row>
    <row r="83" spans="1:23" ht="30" customHeight="1" x14ac:dyDescent="0.25">
      <c r="A83" s="195">
        <v>61</v>
      </c>
      <c r="B83" s="196"/>
      <c r="C83" s="195"/>
      <c r="D83" s="197"/>
      <c r="E83" s="197"/>
      <c r="F83" s="197"/>
      <c r="G83" s="197"/>
      <c r="H83" s="198"/>
      <c r="I83" s="199"/>
      <c r="J83" s="200"/>
      <c r="K83" s="201"/>
      <c r="L83" s="201"/>
      <c r="M83" s="201"/>
      <c r="N83" s="201"/>
      <c r="O83" s="201"/>
      <c r="P83" s="201"/>
      <c r="Q83" s="197"/>
      <c r="R83" s="197"/>
      <c r="S83" s="202"/>
      <c r="T83" s="197"/>
      <c r="U83" s="203"/>
      <c r="V83" s="204"/>
      <c r="W83" s="205"/>
    </row>
    <row r="84" spans="1:23" ht="30" customHeight="1" x14ac:dyDescent="0.25">
      <c r="A84" s="195">
        <v>62</v>
      </c>
      <c r="B84" s="196"/>
      <c r="C84" s="195"/>
      <c r="D84" s="197"/>
      <c r="E84" s="197"/>
      <c r="F84" s="197"/>
      <c r="G84" s="197"/>
      <c r="H84" s="198"/>
      <c r="I84" s="199"/>
      <c r="J84" s="200"/>
      <c r="K84" s="201"/>
      <c r="L84" s="201"/>
      <c r="M84" s="201"/>
      <c r="N84" s="201"/>
      <c r="O84" s="201"/>
      <c r="P84" s="201"/>
      <c r="Q84" s="197"/>
      <c r="R84" s="197"/>
      <c r="S84" s="202"/>
      <c r="T84" s="197"/>
      <c r="U84" s="203"/>
      <c r="V84" s="204"/>
      <c r="W84" s="205"/>
    </row>
    <row r="85" spans="1:23" ht="30" customHeight="1" x14ac:dyDescent="0.25">
      <c r="A85" s="195">
        <v>63</v>
      </c>
      <c r="B85" s="196"/>
      <c r="C85" s="195"/>
      <c r="D85" s="197"/>
      <c r="E85" s="197"/>
      <c r="F85" s="197"/>
      <c r="G85" s="197"/>
      <c r="H85" s="198"/>
      <c r="I85" s="199"/>
      <c r="J85" s="200"/>
      <c r="K85" s="201"/>
      <c r="L85" s="201"/>
      <c r="M85" s="201"/>
      <c r="N85" s="201"/>
      <c r="O85" s="201"/>
      <c r="P85" s="201"/>
      <c r="Q85" s="197"/>
      <c r="R85" s="197"/>
      <c r="S85" s="202"/>
      <c r="T85" s="197"/>
      <c r="U85" s="203"/>
      <c r="V85" s="204"/>
      <c r="W85" s="205"/>
    </row>
    <row r="86" spans="1:23" ht="30" customHeight="1" x14ac:dyDescent="0.25">
      <c r="A86" s="195">
        <v>64</v>
      </c>
      <c r="B86" s="196"/>
      <c r="C86" s="195"/>
      <c r="D86" s="197"/>
      <c r="E86" s="197"/>
      <c r="F86" s="197"/>
      <c r="G86" s="197"/>
      <c r="H86" s="198"/>
      <c r="I86" s="199"/>
      <c r="J86" s="200"/>
      <c r="K86" s="201"/>
      <c r="L86" s="201"/>
      <c r="M86" s="201"/>
      <c r="N86" s="201"/>
      <c r="O86" s="201"/>
      <c r="P86" s="201"/>
      <c r="Q86" s="197"/>
      <c r="R86" s="197"/>
      <c r="S86" s="202"/>
      <c r="T86" s="197"/>
      <c r="U86" s="203"/>
      <c r="V86" s="204"/>
      <c r="W86" s="205"/>
    </row>
    <row r="87" spans="1:23" ht="30" customHeight="1" x14ac:dyDescent="0.25">
      <c r="A87" s="195">
        <v>65</v>
      </c>
      <c r="B87" s="196"/>
      <c r="C87" s="195"/>
      <c r="D87" s="197"/>
      <c r="E87" s="197"/>
      <c r="F87" s="197"/>
      <c r="G87" s="197"/>
      <c r="H87" s="198"/>
      <c r="I87" s="199"/>
      <c r="J87" s="200"/>
      <c r="K87" s="201"/>
      <c r="L87" s="201"/>
      <c r="M87" s="201"/>
      <c r="N87" s="201"/>
      <c r="O87" s="201"/>
      <c r="P87" s="201"/>
      <c r="Q87" s="197"/>
      <c r="R87" s="197"/>
      <c r="S87" s="202"/>
      <c r="T87" s="197"/>
      <c r="U87" s="203"/>
      <c r="V87" s="204"/>
      <c r="W87" s="205"/>
    </row>
    <row r="88" spans="1:23" ht="30" customHeight="1" x14ac:dyDescent="0.25">
      <c r="A88" s="195">
        <v>66</v>
      </c>
      <c r="B88" s="196"/>
      <c r="C88" s="195"/>
      <c r="D88" s="197"/>
      <c r="E88" s="197"/>
      <c r="F88" s="197"/>
      <c r="G88" s="197"/>
      <c r="H88" s="198"/>
      <c r="I88" s="199"/>
      <c r="J88" s="200"/>
      <c r="K88" s="201"/>
      <c r="L88" s="201"/>
      <c r="M88" s="201"/>
      <c r="N88" s="201"/>
      <c r="O88" s="201"/>
      <c r="P88" s="201"/>
      <c r="Q88" s="197"/>
      <c r="R88" s="197"/>
      <c r="S88" s="202"/>
      <c r="T88" s="197"/>
      <c r="U88" s="203"/>
      <c r="V88" s="204"/>
      <c r="W88" s="205"/>
    </row>
    <row r="89" spans="1:23" ht="30" customHeight="1" x14ac:dyDescent="0.25">
      <c r="A89" s="195">
        <v>67</v>
      </c>
      <c r="B89" s="196"/>
      <c r="C89" s="195"/>
      <c r="D89" s="197"/>
      <c r="E89" s="197"/>
      <c r="F89" s="197"/>
      <c r="G89" s="197"/>
      <c r="H89" s="198"/>
      <c r="I89" s="199"/>
      <c r="J89" s="200"/>
      <c r="K89" s="201"/>
      <c r="L89" s="201"/>
      <c r="M89" s="201"/>
      <c r="N89" s="201"/>
      <c r="O89" s="201"/>
      <c r="P89" s="201"/>
      <c r="Q89" s="197"/>
      <c r="R89" s="197"/>
      <c r="S89" s="202"/>
      <c r="T89" s="197"/>
      <c r="U89" s="203"/>
      <c r="V89" s="204"/>
      <c r="W89" s="205"/>
    </row>
    <row r="90" spans="1:23" ht="30" customHeight="1" x14ac:dyDescent="0.25">
      <c r="A90" s="195">
        <v>68</v>
      </c>
      <c r="B90" s="196"/>
      <c r="C90" s="195"/>
      <c r="D90" s="197"/>
      <c r="E90" s="197"/>
      <c r="F90" s="197"/>
      <c r="G90" s="197"/>
      <c r="H90" s="198"/>
      <c r="I90" s="199"/>
      <c r="J90" s="200"/>
      <c r="K90" s="201"/>
      <c r="L90" s="201"/>
      <c r="M90" s="201"/>
      <c r="N90" s="201"/>
      <c r="O90" s="201"/>
      <c r="P90" s="201"/>
      <c r="Q90" s="197"/>
      <c r="R90" s="197"/>
      <c r="S90" s="202"/>
      <c r="T90" s="197"/>
      <c r="U90" s="203"/>
      <c r="V90" s="204"/>
      <c r="W90" s="205"/>
    </row>
    <row r="91" spans="1:23" ht="30" customHeight="1" x14ac:dyDescent="0.25">
      <c r="A91" s="195">
        <v>69</v>
      </c>
      <c r="B91" s="196"/>
      <c r="C91" s="195"/>
      <c r="D91" s="197"/>
      <c r="E91" s="197"/>
      <c r="F91" s="197"/>
      <c r="G91" s="197"/>
      <c r="H91" s="198"/>
      <c r="I91" s="199"/>
      <c r="J91" s="200"/>
      <c r="K91" s="201"/>
      <c r="L91" s="201"/>
      <c r="M91" s="201"/>
      <c r="N91" s="201"/>
      <c r="O91" s="201"/>
      <c r="P91" s="201"/>
      <c r="Q91" s="197"/>
      <c r="R91" s="197"/>
      <c r="S91" s="202"/>
      <c r="T91" s="197"/>
      <c r="U91" s="203"/>
      <c r="V91" s="204"/>
      <c r="W91" s="205"/>
    </row>
    <row r="92" spans="1:23" ht="30" customHeight="1" x14ac:dyDescent="0.25">
      <c r="A92" s="195">
        <v>70</v>
      </c>
      <c r="B92" s="196"/>
      <c r="C92" s="195"/>
      <c r="D92" s="197"/>
      <c r="E92" s="197"/>
      <c r="F92" s="197"/>
      <c r="G92" s="197"/>
      <c r="H92" s="198"/>
      <c r="I92" s="199"/>
      <c r="J92" s="200"/>
      <c r="K92" s="201"/>
      <c r="L92" s="201"/>
      <c r="M92" s="201"/>
      <c r="N92" s="201"/>
      <c r="O92" s="201"/>
      <c r="P92" s="201"/>
      <c r="Q92" s="197"/>
      <c r="R92" s="197"/>
      <c r="S92" s="202"/>
      <c r="T92" s="197"/>
      <c r="U92" s="203"/>
      <c r="V92" s="204"/>
      <c r="W92" s="205"/>
    </row>
    <row r="93" spans="1:23" ht="30" customHeight="1" x14ac:dyDescent="0.25">
      <c r="A93" s="195">
        <v>71</v>
      </c>
      <c r="B93" s="196"/>
      <c r="C93" s="195"/>
      <c r="D93" s="197"/>
      <c r="E93" s="197"/>
      <c r="F93" s="197"/>
      <c r="G93" s="197"/>
      <c r="H93" s="198"/>
      <c r="I93" s="199"/>
      <c r="J93" s="200"/>
      <c r="K93" s="201"/>
      <c r="L93" s="201"/>
      <c r="M93" s="201"/>
      <c r="N93" s="201"/>
      <c r="O93" s="201"/>
      <c r="P93" s="201"/>
      <c r="Q93" s="197"/>
      <c r="R93" s="197"/>
      <c r="S93" s="202"/>
      <c r="T93" s="197"/>
      <c r="U93" s="203"/>
      <c r="V93" s="204"/>
      <c r="W93" s="205"/>
    </row>
    <row r="94" spans="1:23" ht="30" customHeight="1" x14ac:dyDescent="0.25">
      <c r="A94" s="195">
        <v>72</v>
      </c>
      <c r="B94" s="196"/>
      <c r="C94" s="195"/>
      <c r="D94" s="197"/>
      <c r="E94" s="197"/>
      <c r="F94" s="197"/>
      <c r="G94" s="197"/>
      <c r="H94" s="198"/>
      <c r="I94" s="199"/>
      <c r="J94" s="200"/>
      <c r="K94" s="201"/>
      <c r="L94" s="201"/>
      <c r="M94" s="201"/>
      <c r="N94" s="201"/>
      <c r="O94" s="201"/>
      <c r="P94" s="201"/>
      <c r="Q94" s="197"/>
      <c r="R94" s="197"/>
      <c r="S94" s="202"/>
      <c r="T94" s="197"/>
      <c r="U94" s="203"/>
      <c r="V94" s="204"/>
      <c r="W94" s="205"/>
    </row>
    <row r="95" spans="1:23" ht="30" customHeight="1" x14ac:dyDescent="0.25">
      <c r="A95" s="195">
        <v>73</v>
      </c>
      <c r="B95" s="196"/>
      <c r="C95" s="195"/>
      <c r="D95" s="197"/>
      <c r="E95" s="197"/>
      <c r="F95" s="197"/>
      <c r="G95" s="197"/>
      <c r="H95" s="198"/>
      <c r="I95" s="199"/>
      <c r="J95" s="200"/>
      <c r="K95" s="201"/>
      <c r="L95" s="201"/>
      <c r="M95" s="201"/>
      <c r="N95" s="201"/>
      <c r="O95" s="201"/>
      <c r="P95" s="201"/>
      <c r="Q95" s="197"/>
      <c r="R95" s="197"/>
      <c r="S95" s="202"/>
      <c r="T95" s="197"/>
      <c r="U95" s="203"/>
      <c r="V95" s="204"/>
      <c r="W95" s="205"/>
    </row>
    <row r="96" spans="1:23" ht="30" customHeight="1" x14ac:dyDescent="0.25">
      <c r="A96" s="195">
        <v>74</v>
      </c>
      <c r="B96" s="196"/>
      <c r="C96" s="195"/>
      <c r="D96" s="197"/>
      <c r="E96" s="197"/>
      <c r="F96" s="197"/>
      <c r="G96" s="197"/>
      <c r="H96" s="198"/>
      <c r="I96" s="199"/>
      <c r="J96" s="200"/>
      <c r="K96" s="201"/>
      <c r="L96" s="201"/>
      <c r="M96" s="201"/>
      <c r="N96" s="201"/>
      <c r="O96" s="201"/>
      <c r="P96" s="201"/>
      <c r="Q96" s="197"/>
      <c r="R96" s="197"/>
      <c r="S96" s="202"/>
      <c r="T96" s="197"/>
      <c r="U96" s="203"/>
      <c r="V96" s="204"/>
      <c r="W96" s="205"/>
    </row>
    <row r="97" spans="1:23" ht="30" customHeight="1" x14ac:dyDescent="0.25">
      <c r="A97" s="195">
        <v>75</v>
      </c>
      <c r="B97" s="196"/>
      <c r="C97" s="195"/>
      <c r="D97" s="197"/>
      <c r="E97" s="197"/>
      <c r="F97" s="197"/>
      <c r="G97" s="197"/>
      <c r="H97" s="198"/>
      <c r="I97" s="199"/>
      <c r="J97" s="200"/>
      <c r="K97" s="201"/>
      <c r="L97" s="201"/>
      <c r="M97" s="201"/>
      <c r="N97" s="201"/>
      <c r="O97" s="201"/>
      <c r="P97" s="201"/>
      <c r="Q97" s="197"/>
      <c r="R97" s="197"/>
      <c r="S97" s="202"/>
      <c r="T97" s="197"/>
      <c r="U97" s="203"/>
      <c r="V97" s="204"/>
      <c r="W97" s="205"/>
    </row>
    <row r="98" spans="1:23" ht="30" customHeight="1" x14ac:dyDescent="0.25">
      <c r="A98" s="195">
        <v>76</v>
      </c>
      <c r="B98" s="196"/>
      <c r="C98" s="195"/>
      <c r="D98" s="197"/>
      <c r="E98" s="197"/>
      <c r="F98" s="197"/>
      <c r="G98" s="197"/>
      <c r="H98" s="198"/>
      <c r="I98" s="199"/>
      <c r="J98" s="200"/>
      <c r="K98" s="201"/>
      <c r="L98" s="201"/>
      <c r="M98" s="201"/>
      <c r="N98" s="201"/>
      <c r="O98" s="201"/>
      <c r="P98" s="201"/>
      <c r="Q98" s="197"/>
      <c r="R98" s="197"/>
      <c r="S98" s="202"/>
      <c r="T98" s="197"/>
      <c r="U98" s="203"/>
      <c r="V98" s="204"/>
      <c r="W98" s="205"/>
    </row>
    <row r="99" spans="1:23" ht="30" customHeight="1" x14ac:dyDescent="0.25">
      <c r="A99" s="195">
        <v>77</v>
      </c>
      <c r="B99" s="196"/>
      <c r="C99" s="195"/>
      <c r="D99" s="197"/>
      <c r="E99" s="197"/>
      <c r="F99" s="197"/>
      <c r="G99" s="197"/>
      <c r="H99" s="198"/>
      <c r="I99" s="199"/>
      <c r="J99" s="200"/>
      <c r="K99" s="201"/>
      <c r="L99" s="201"/>
      <c r="M99" s="201"/>
      <c r="N99" s="201"/>
      <c r="O99" s="201"/>
      <c r="P99" s="201"/>
      <c r="Q99" s="197"/>
      <c r="R99" s="197"/>
      <c r="S99" s="202"/>
      <c r="T99" s="197"/>
      <c r="U99" s="203"/>
      <c r="V99" s="204"/>
      <c r="W99" s="205"/>
    </row>
    <row r="100" spans="1:23" ht="30" customHeight="1" x14ac:dyDescent="0.25">
      <c r="A100" s="195">
        <v>78</v>
      </c>
      <c r="B100" s="196"/>
      <c r="C100" s="195"/>
      <c r="D100" s="197"/>
      <c r="E100" s="197"/>
      <c r="F100" s="197"/>
      <c r="G100" s="197"/>
      <c r="H100" s="198"/>
      <c r="I100" s="199"/>
      <c r="J100" s="200"/>
      <c r="K100" s="201"/>
      <c r="L100" s="201"/>
      <c r="M100" s="201"/>
      <c r="N100" s="201"/>
      <c r="O100" s="201"/>
      <c r="P100" s="201"/>
      <c r="Q100" s="197"/>
      <c r="R100" s="197"/>
      <c r="S100" s="202"/>
      <c r="T100" s="197"/>
      <c r="U100" s="203"/>
      <c r="V100" s="204"/>
      <c r="W100" s="205"/>
    </row>
    <row r="101" spans="1:23" ht="30" customHeight="1" x14ac:dyDescent="0.25">
      <c r="A101" s="195">
        <v>79</v>
      </c>
      <c r="B101" s="196"/>
      <c r="C101" s="195"/>
      <c r="D101" s="197"/>
      <c r="E101" s="197"/>
      <c r="F101" s="197"/>
      <c r="G101" s="197"/>
      <c r="H101" s="198"/>
      <c r="I101" s="199"/>
      <c r="J101" s="200"/>
      <c r="K101" s="201"/>
      <c r="L101" s="201"/>
      <c r="M101" s="201"/>
      <c r="N101" s="201"/>
      <c r="O101" s="201"/>
      <c r="P101" s="201"/>
      <c r="Q101" s="197"/>
      <c r="R101" s="197"/>
      <c r="S101" s="202"/>
      <c r="T101" s="197"/>
      <c r="U101" s="203"/>
      <c r="V101" s="204"/>
      <c r="W101" s="205"/>
    </row>
    <row r="102" spans="1:23" ht="30" customHeight="1" x14ac:dyDescent="0.25">
      <c r="A102" s="195">
        <v>80</v>
      </c>
      <c r="B102" s="196"/>
      <c r="C102" s="195"/>
      <c r="D102" s="197"/>
      <c r="E102" s="197"/>
      <c r="F102" s="197"/>
      <c r="G102" s="197"/>
      <c r="H102" s="198"/>
      <c r="I102" s="199"/>
      <c r="J102" s="200"/>
      <c r="K102" s="201"/>
      <c r="L102" s="201"/>
      <c r="M102" s="201"/>
      <c r="N102" s="201"/>
      <c r="O102" s="201"/>
      <c r="P102" s="201"/>
      <c r="Q102" s="197"/>
      <c r="R102" s="197"/>
      <c r="S102" s="202"/>
      <c r="T102" s="197"/>
      <c r="U102" s="203"/>
      <c r="V102" s="204"/>
      <c r="W102" s="205"/>
    </row>
    <row r="103" spans="1:23" ht="30" customHeight="1" x14ac:dyDescent="0.25">
      <c r="A103" s="195">
        <v>81</v>
      </c>
      <c r="B103" s="196"/>
      <c r="C103" s="195"/>
      <c r="D103" s="197"/>
      <c r="E103" s="197"/>
      <c r="F103" s="197"/>
      <c r="G103" s="197"/>
      <c r="H103" s="198"/>
      <c r="I103" s="199"/>
      <c r="J103" s="200"/>
      <c r="K103" s="201"/>
      <c r="L103" s="201"/>
      <c r="M103" s="201"/>
      <c r="N103" s="201"/>
      <c r="O103" s="201"/>
      <c r="P103" s="201"/>
      <c r="Q103" s="197"/>
      <c r="R103" s="197"/>
      <c r="S103" s="202"/>
      <c r="T103" s="197"/>
      <c r="U103" s="203"/>
      <c r="V103" s="204"/>
      <c r="W103" s="205"/>
    </row>
    <row r="104" spans="1:23" ht="30" customHeight="1" x14ac:dyDescent="0.25">
      <c r="A104" s="195">
        <v>82</v>
      </c>
      <c r="B104" s="196"/>
      <c r="C104" s="195"/>
      <c r="D104" s="197"/>
      <c r="E104" s="197"/>
      <c r="F104" s="197"/>
      <c r="G104" s="197"/>
      <c r="H104" s="198"/>
      <c r="I104" s="199"/>
      <c r="J104" s="200"/>
      <c r="K104" s="201"/>
      <c r="L104" s="201"/>
      <c r="M104" s="201"/>
      <c r="N104" s="201"/>
      <c r="O104" s="201"/>
      <c r="P104" s="201"/>
      <c r="Q104" s="197"/>
      <c r="R104" s="197"/>
      <c r="S104" s="202"/>
      <c r="T104" s="197"/>
      <c r="U104" s="203"/>
      <c r="V104" s="204"/>
      <c r="W104" s="205"/>
    </row>
    <row r="105" spans="1:23" ht="30" customHeight="1" x14ac:dyDescent="0.25">
      <c r="A105" s="195">
        <v>83</v>
      </c>
      <c r="B105" s="196"/>
      <c r="C105" s="195"/>
      <c r="D105" s="197"/>
      <c r="E105" s="197"/>
      <c r="F105" s="197"/>
      <c r="G105" s="197"/>
      <c r="H105" s="198"/>
      <c r="I105" s="199"/>
      <c r="J105" s="200"/>
      <c r="K105" s="201"/>
      <c r="L105" s="201"/>
      <c r="M105" s="201"/>
      <c r="N105" s="201"/>
      <c r="O105" s="201"/>
      <c r="P105" s="201"/>
      <c r="Q105" s="197"/>
      <c r="R105" s="197"/>
      <c r="S105" s="202"/>
      <c r="T105" s="197"/>
      <c r="U105" s="203"/>
      <c r="V105" s="204"/>
      <c r="W105" s="205"/>
    </row>
    <row r="106" spans="1:23" ht="30" customHeight="1" x14ac:dyDescent="0.25">
      <c r="A106" s="195">
        <v>84</v>
      </c>
      <c r="B106" s="196"/>
      <c r="C106" s="195"/>
      <c r="D106" s="197"/>
      <c r="E106" s="197"/>
      <c r="F106" s="197"/>
      <c r="G106" s="197"/>
      <c r="H106" s="198"/>
      <c r="I106" s="199"/>
      <c r="J106" s="200"/>
      <c r="K106" s="201"/>
      <c r="L106" s="201"/>
      <c r="M106" s="201"/>
      <c r="N106" s="201"/>
      <c r="O106" s="201"/>
      <c r="P106" s="201"/>
      <c r="Q106" s="197"/>
      <c r="R106" s="197"/>
      <c r="S106" s="202"/>
      <c r="T106" s="197"/>
      <c r="U106" s="203"/>
      <c r="V106" s="204"/>
      <c r="W106" s="205"/>
    </row>
    <row r="107" spans="1:23" ht="30" customHeight="1" x14ac:dyDescent="0.25">
      <c r="A107" s="195">
        <v>85</v>
      </c>
      <c r="B107" s="196"/>
      <c r="C107" s="195"/>
      <c r="D107" s="197"/>
      <c r="E107" s="197"/>
      <c r="F107" s="197"/>
      <c r="G107" s="197"/>
      <c r="H107" s="198"/>
      <c r="I107" s="199"/>
      <c r="J107" s="200"/>
      <c r="K107" s="201"/>
      <c r="L107" s="201"/>
      <c r="M107" s="201"/>
      <c r="N107" s="201"/>
      <c r="O107" s="201"/>
      <c r="P107" s="201"/>
      <c r="Q107" s="197"/>
      <c r="R107" s="197"/>
      <c r="S107" s="202"/>
      <c r="T107" s="197"/>
      <c r="U107" s="203"/>
      <c r="V107" s="204"/>
      <c r="W107" s="205"/>
    </row>
    <row r="108" spans="1:23" ht="30" customHeight="1" x14ac:dyDescent="0.25">
      <c r="A108" s="195">
        <v>86</v>
      </c>
      <c r="B108" s="196"/>
      <c r="C108" s="195"/>
      <c r="D108" s="197"/>
      <c r="E108" s="197"/>
      <c r="F108" s="197"/>
      <c r="G108" s="197"/>
      <c r="H108" s="198"/>
      <c r="I108" s="199"/>
      <c r="J108" s="200"/>
      <c r="K108" s="201"/>
      <c r="L108" s="201"/>
      <c r="M108" s="201"/>
      <c r="N108" s="201"/>
      <c r="O108" s="201"/>
      <c r="P108" s="201"/>
      <c r="Q108" s="197"/>
      <c r="R108" s="197"/>
      <c r="S108" s="202"/>
      <c r="T108" s="197"/>
      <c r="U108" s="203"/>
      <c r="V108" s="204"/>
      <c r="W108" s="205"/>
    </row>
    <row r="109" spans="1:23" ht="30" customHeight="1" x14ac:dyDescent="0.25">
      <c r="A109" s="195">
        <v>87</v>
      </c>
      <c r="B109" s="196"/>
      <c r="C109" s="195"/>
      <c r="D109" s="197"/>
      <c r="E109" s="197"/>
      <c r="F109" s="197"/>
      <c r="G109" s="197"/>
      <c r="H109" s="198"/>
      <c r="I109" s="199"/>
      <c r="J109" s="200"/>
      <c r="K109" s="201"/>
      <c r="L109" s="201"/>
      <c r="M109" s="201"/>
      <c r="N109" s="201"/>
      <c r="O109" s="201"/>
      <c r="P109" s="201"/>
      <c r="Q109" s="197"/>
      <c r="R109" s="197"/>
      <c r="S109" s="202"/>
      <c r="T109" s="197"/>
      <c r="U109" s="203"/>
      <c r="V109" s="204"/>
      <c r="W109" s="205"/>
    </row>
    <row r="110" spans="1:23" ht="30" customHeight="1" x14ac:dyDescent="0.25">
      <c r="A110" s="195">
        <v>88</v>
      </c>
      <c r="B110" s="196"/>
      <c r="C110" s="195"/>
      <c r="D110" s="197"/>
      <c r="E110" s="197"/>
      <c r="F110" s="197"/>
      <c r="G110" s="197"/>
      <c r="H110" s="198"/>
      <c r="I110" s="199"/>
      <c r="J110" s="200"/>
      <c r="K110" s="201"/>
      <c r="L110" s="201"/>
      <c r="M110" s="201"/>
      <c r="N110" s="201"/>
      <c r="O110" s="201"/>
      <c r="P110" s="201"/>
      <c r="Q110" s="197"/>
      <c r="R110" s="197"/>
      <c r="S110" s="202"/>
      <c r="T110" s="197"/>
      <c r="U110" s="203"/>
      <c r="V110" s="204"/>
      <c r="W110" s="205"/>
    </row>
    <row r="111" spans="1:23" ht="30" customHeight="1" x14ac:dyDescent="0.25">
      <c r="A111" s="195">
        <v>89</v>
      </c>
      <c r="B111" s="196"/>
      <c r="C111" s="195"/>
      <c r="D111" s="197"/>
      <c r="E111" s="197"/>
      <c r="F111" s="197"/>
      <c r="G111" s="197"/>
      <c r="H111" s="198"/>
      <c r="I111" s="199"/>
      <c r="J111" s="200"/>
      <c r="K111" s="201"/>
      <c r="L111" s="201"/>
      <c r="M111" s="201"/>
      <c r="N111" s="201"/>
      <c r="O111" s="201"/>
      <c r="P111" s="201"/>
      <c r="Q111" s="197"/>
      <c r="R111" s="197"/>
      <c r="S111" s="202"/>
      <c r="T111" s="197"/>
      <c r="U111" s="203"/>
      <c r="V111" s="204"/>
      <c r="W111" s="205"/>
    </row>
    <row r="112" spans="1:23" ht="30" customHeight="1" x14ac:dyDescent="0.25">
      <c r="A112" s="195">
        <v>90</v>
      </c>
      <c r="B112" s="196"/>
      <c r="C112" s="195"/>
      <c r="D112" s="197"/>
      <c r="E112" s="197"/>
      <c r="F112" s="197"/>
      <c r="G112" s="197"/>
      <c r="H112" s="198"/>
      <c r="I112" s="199"/>
      <c r="J112" s="200"/>
      <c r="K112" s="201"/>
      <c r="L112" s="201"/>
      <c r="M112" s="201"/>
      <c r="N112" s="201"/>
      <c r="O112" s="201"/>
      <c r="P112" s="201"/>
      <c r="Q112" s="197"/>
      <c r="R112" s="197"/>
      <c r="S112" s="202"/>
      <c r="T112" s="197"/>
      <c r="U112" s="203"/>
      <c r="V112" s="204"/>
      <c r="W112" s="205"/>
    </row>
    <row r="113" spans="1:23" ht="30" customHeight="1" x14ac:dyDescent="0.25">
      <c r="A113" s="195">
        <v>91</v>
      </c>
      <c r="B113" s="196"/>
      <c r="C113" s="195"/>
      <c r="D113" s="197"/>
      <c r="E113" s="197"/>
      <c r="F113" s="197"/>
      <c r="G113" s="197"/>
      <c r="H113" s="198"/>
      <c r="I113" s="199"/>
      <c r="J113" s="200"/>
      <c r="K113" s="201"/>
      <c r="L113" s="201"/>
      <c r="M113" s="201"/>
      <c r="N113" s="201"/>
      <c r="O113" s="201"/>
      <c r="P113" s="201"/>
      <c r="Q113" s="197"/>
      <c r="R113" s="197"/>
      <c r="S113" s="202"/>
      <c r="T113" s="197"/>
      <c r="U113" s="203"/>
      <c r="V113" s="204"/>
      <c r="W113" s="205"/>
    </row>
    <row r="114" spans="1:23" ht="30" customHeight="1" x14ac:dyDescent="0.25">
      <c r="A114" s="195">
        <v>92</v>
      </c>
      <c r="B114" s="196"/>
      <c r="C114" s="195"/>
      <c r="D114" s="197"/>
      <c r="E114" s="197"/>
      <c r="F114" s="197"/>
      <c r="G114" s="197"/>
      <c r="H114" s="198"/>
      <c r="I114" s="199"/>
      <c r="J114" s="200"/>
      <c r="K114" s="201"/>
      <c r="L114" s="201"/>
      <c r="M114" s="201"/>
      <c r="N114" s="201"/>
      <c r="O114" s="201"/>
      <c r="P114" s="201"/>
      <c r="Q114" s="197"/>
      <c r="R114" s="197"/>
      <c r="S114" s="202"/>
      <c r="T114" s="197"/>
      <c r="U114" s="203"/>
      <c r="V114" s="204"/>
      <c r="W114" s="205"/>
    </row>
    <row r="115" spans="1:23" ht="30" customHeight="1" x14ac:dyDescent="0.25">
      <c r="A115" s="195">
        <v>93</v>
      </c>
      <c r="B115" s="196"/>
      <c r="C115" s="195"/>
      <c r="D115" s="197"/>
      <c r="E115" s="197"/>
      <c r="F115" s="197"/>
      <c r="G115" s="197"/>
      <c r="H115" s="198"/>
      <c r="I115" s="199"/>
      <c r="J115" s="200"/>
      <c r="K115" s="201"/>
      <c r="L115" s="201"/>
      <c r="M115" s="201"/>
      <c r="N115" s="201"/>
      <c r="O115" s="201"/>
      <c r="P115" s="201"/>
      <c r="Q115" s="197"/>
      <c r="R115" s="197"/>
      <c r="S115" s="202"/>
      <c r="T115" s="197"/>
      <c r="U115" s="203"/>
      <c r="V115" s="204"/>
      <c r="W115" s="205"/>
    </row>
    <row r="116" spans="1:23" ht="30" customHeight="1" x14ac:dyDescent="0.25">
      <c r="A116" s="195">
        <v>94</v>
      </c>
      <c r="B116" s="196"/>
      <c r="C116" s="195"/>
      <c r="D116" s="197"/>
      <c r="E116" s="197"/>
      <c r="F116" s="197"/>
      <c r="G116" s="197"/>
      <c r="H116" s="198"/>
      <c r="I116" s="199"/>
      <c r="J116" s="200"/>
      <c r="K116" s="201"/>
      <c r="L116" s="201"/>
      <c r="M116" s="201"/>
      <c r="N116" s="201"/>
      <c r="O116" s="201"/>
      <c r="P116" s="201"/>
      <c r="Q116" s="197"/>
      <c r="R116" s="197"/>
      <c r="S116" s="202"/>
      <c r="T116" s="197"/>
      <c r="U116" s="203"/>
      <c r="V116" s="204"/>
      <c r="W116" s="205"/>
    </row>
    <row r="117" spans="1:23" ht="30" customHeight="1" x14ac:dyDescent="0.25">
      <c r="A117" s="195">
        <v>95</v>
      </c>
      <c r="B117" s="196"/>
      <c r="C117" s="195"/>
      <c r="D117" s="197"/>
      <c r="E117" s="197"/>
      <c r="F117" s="197"/>
      <c r="G117" s="197"/>
      <c r="H117" s="198"/>
      <c r="I117" s="199"/>
      <c r="J117" s="200"/>
      <c r="K117" s="201"/>
      <c r="L117" s="201"/>
      <c r="M117" s="201"/>
      <c r="N117" s="201"/>
      <c r="O117" s="201"/>
      <c r="P117" s="201"/>
      <c r="Q117" s="197"/>
      <c r="R117" s="197"/>
      <c r="S117" s="202"/>
      <c r="T117" s="197"/>
      <c r="U117" s="203"/>
      <c r="V117" s="204"/>
      <c r="W117" s="205"/>
    </row>
    <row r="118" spans="1:23" ht="30" customHeight="1" x14ac:dyDescent="0.25">
      <c r="A118" s="195">
        <v>96</v>
      </c>
      <c r="B118" s="196"/>
      <c r="C118" s="195"/>
      <c r="D118" s="197"/>
      <c r="E118" s="197"/>
      <c r="F118" s="197"/>
      <c r="G118" s="197"/>
      <c r="H118" s="198"/>
      <c r="I118" s="199"/>
      <c r="J118" s="200"/>
      <c r="K118" s="201"/>
      <c r="L118" s="201"/>
      <c r="M118" s="201"/>
      <c r="N118" s="201"/>
      <c r="O118" s="201"/>
      <c r="P118" s="201"/>
      <c r="Q118" s="197"/>
      <c r="R118" s="197"/>
      <c r="S118" s="202"/>
      <c r="T118" s="197"/>
      <c r="U118" s="203"/>
      <c r="V118" s="204"/>
      <c r="W118" s="205"/>
    </row>
    <row r="119" spans="1:23" ht="30" customHeight="1" x14ac:dyDescent="0.25">
      <c r="A119" s="195">
        <v>97</v>
      </c>
      <c r="B119" s="196"/>
      <c r="C119" s="195"/>
      <c r="D119" s="197"/>
      <c r="E119" s="197"/>
      <c r="F119" s="197"/>
      <c r="G119" s="197"/>
      <c r="H119" s="198"/>
      <c r="I119" s="199"/>
      <c r="J119" s="200"/>
      <c r="K119" s="201"/>
      <c r="L119" s="201"/>
      <c r="M119" s="201"/>
      <c r="N119" s="201"/>
      <c r="O119" s="201"/>
      <c r="P119" s="201"/>
      <c r="Q119" s="197"/>
      <c r="R119" s="197"/>
      <c r="S119" s="202"/>
      <c r="T119" s="197"/>
      <c r="U119" s="203"/>
      <c r="V119" s="204"/>
      <c r="W119" s="205"/>
    </row>
    <row r="120" spans="1:23" ht="30" customHeight="1" x14ac:dyDescent="0.25">
      <c r="A120" s="195">
        <v>98</v>
      </c>
      <c r="B120" s="196"/>
      <c r="C120" s="195"/>
      <c r="D120" s="197"/>
      <c r="E120" s="197"/>
      <c r="F120" s="197"/>
      <c r="G120" s="197"/>
      <c r="H120" s="198"/>
      <c r="I120" s="199"/>
      <c r="J120" s="200"/>
      <c r="K120" s="201"/>
      <c r="L120" s="201"/>
      <c r="M120" s="201"/>
      <c r="N120" s="201"/>
      <c r="O120" s="201"/>
      <c r="P120" s="201"/>
      <c r="Q120" s="197"/>
      <c r="R120" s="197"/>
      <c r="S120" s="202"/>
      <c r="T120" s="197"/>
      <c r="U120" s="203"/>
      <c r="V120" s="204"/>
      <c r="W120" s="205"/>
    </row>
    <row r="121" spans="1:23" ht="30" customHeight="1" x14ac:dyDescent="0.25">
      <c r="A121" s="195">
        <v>99</v>
      </c>
      <c r="B121" s="196"/>
      <c r="C121" s="195"/>
      <c r="D121" s="197"/>
      <c r="E121" s="197"/>
      <c r="F121" s="197"/>
      <c r="G121" s="197"/>
      <c r="H121" s="198"/>
      <c r="I121" s="199"/>
      <c r="J121" s="200"/>
      <c r="K121" s="201"/>
      <c r="L121" s="201"/>
      <c r="M121" s="201"/>
      <c r="N121" s="201"/>
      <c r="O121" s="201"/>
      <c r="P121" s="201"/>
      <c r="Q121" s="197"/>
      <c r="R121" s="197"/>
      <c r="S121" s="202"/>
      <c r="T121" s="197"/>
      <c r="U121" s="203"/>
      <c r="V121" s="204"/>
      <c r="W121" s="205"/>
    </row>
    <row r="122" spans="1:23" ht="30" customHeight="1" x14ac:dyDescent="0.25">
      <c r="A122" s="195">
        <v>100</v>
      </c>
      <c r="B122" s="196"/>
      <c r="C122" s="195"/>
      <c r="D122" s="197"/>
      <c r="E122" s="197"/>
      <c r="F122" s="197"/>
      <c r="G122" s="197"/>
      <c r="H122" s="198"/>
      <c r="I122" s="199"/>
      <c r="J122" s="200"/>
      <c r="K122" s="201"/>
      <c r="L122" s="201"/>
      <c r="M122" s="201"/>
      <c r="N122" s="201"/>
      <c r="O122" s="201"/>
      <c r="P122" s="201"/>
      <c r="Q122" s="197"/>
      <c r="R122" s="197"/>
      <c r="S122" s="202"/>
      <c r="T122" s="197"/>
      <c r="U122" s="203"/>
      <c r="V122" s="204"/>
      <c r="W122" s="205"/>
    </row>
    <row r="123" spans="1:23" ht="30" customHeight="1" x14ac:dyDescent="0.25">
      <c r="A123" s="195">
        <v>101</v>
      </c>
      <c r="B123" s="196"/>
      <c r="C123" s="195"/>
      <c r="D123" s="197"/>
      <c r="E123" s="197"/>
      <c r="F123" s="197"/>
      <c r="G123" s="197"/>
      <c r="H123" s="198"/>
      <c r="I123" s="199"/>
      <c r="J123" s="200"/>
      <c r="K123" s="201"/>
      <c r="L123" s="201"/>
      <c r="M123" s="201"/>
      <c r="N123" s="201"/>
      <c r="O123" s="201"/>
      <c r="P123" s="201"/>
      <c r="Q123" s="197"/>
      <c r="R123" s="197"/>
      <c r="S123" s="202"/>
      <c r="T123" s="197"/>
      <c r="U123" s="203"/>
      <c r="V123" s="204"/>
      <c r="W123" s="205"/>
    </row>
    <row r="124" spans="1:23" ht="30" customHeight="1" x14ac:dyDescent="0.25">
      <c r="A124" s="195">
        <v>102</v>
      </c>
      <c r="B124" s="196"/>
      <c r="C124" s="195"/>
      <c r="D124" s="197"/>
      <c r="E124" s="197"/>
      <c r="F124" s="197"/>
      <c r="G124" s="197"/>
      <c r="H124" s="198"/>
      <c r="I124" s="199"/>
      <c r="J124" s="200"/>
      <c r="K124" s="201"/>
      <c r="L124" s="201"/>
      <c r="M124" s="201"/>
      <c r="N124" s="201"/>
      <c r="O124" s="201"/>
      <c r="P124" s="201"/>
      <c r="Q124" s="197"/>
      <c r="R124" s="197"/>
      <c r="S124" s="202"/>
      <c r="T124" s="197"/>
      <c r="U124" s="203"/>
      <c r="V124" s="204"/>
      <c r="W124" s="205"/>
    </row>
    <row r="125" spans="1:23" ht="30" customHeight="1" x14ac:dyDescent="0.25">
      <c r="A125" s="195">
        <v>103</v>
      </c>
      <c r="B125" s="196"/>
      <c r="C125" s="195"/>
      <c r="D125" s="197"/>
      <c r="E125" s="197"/>
      <c r="F125" s="197"/>
      <c r="G125" s="197"/>
      <c r="H125" s="198"/>
      <c r="I125" s="199"/>
      <c r="J125" s="200"/>
      <c r="K125" s="201"/>
      <c r="L125" s="201"/>
      <c r="M125" s="201"/>
      <c r="N125" s="201"/>
      <c r="O125" s="201"/>
      <c r="P125" s="201"/>
      <c r="Q125" s="197"/>
      <c r="R125" s="197"/>
      <c r="S125" s="202"/>
      <c r="T125" s="197"/>
      <c r="U125" s="203"/>
      <c r="V125" s="204"/>
      <c r="W125" s="205"/>
    </row>
    <row r="126" spans="1:23" ht="30" customHeight="1" x14ac:dyDescent="0.25">
      <c r="A126" s="195">
        <v>104</v>
      </c>
      <c r="B126" s="196"/>
      <c r="C126" s="195"/>
      <c r="D126" s="197"/>
      <c r="E126" s="197"/>
      <c r="F126" s="197"/>
      <c r="G126" s="197"/>
      <c r="H126" s="198"/>
      <c r="I126" s="199"/>
      <c r="J126" s="200"/>
      <c r="K126" s="201"/>
      <c r="L126" s="201"/>
      <c r="M126" s="201"/>
      <c r="N126" s="201"/>
      <c r="O126" s="201"/>
      <c r="P126" s="201"/>
      <c r="Q126" s="197"/>
      <c r="R126" s="197"/>
      <c r="S126" s="202"/>
      <c r="T126" s="197"/>
      <c r="U126" s="203"/>
      <c r="V126" s="204"/>
      <c r="W126" s="205"/>
    </row>
    <row r="127" spans="1:23" ht="30" customHeight="1" x14ac:dyDescent="0.25">
      <c r="A127" s="195">
        <v>105</v>
      </c>
      <c r="B127" s="196"/>
      <c r="C127" s="195"/>
      <c r="D127" s="197"/>
      <c r="E127" s="197"/>
      <c r="F127" s="197"/>
      <c r="G127" s="197"/>
      <c r="H127" s="198"/>
      <c r="I127" s="199"/>
      <c r="J127" s="200"/>
      <c r="K127" s="201"/>
      <c r="L127" s="201"/>
      <c r="M127" s="201"/>
      <c r="N127" s="201"/>
      <c r="O127" s="201"/>
      <c r="P127" s="201"/>
      <c r="Q127" s="197"/>
      <c r="R127" s="197"/>
      <c r="S127" s="202"/>
      <c r="T127" s="197"/>
      <c r="U127" s="203"/>
      <c r="V127" s="204"/>
      <c r="W127" s="205"/>
    </row>
    <row r="128" spans="1:23" ht="30" customHeight="1" x14ac:dyDescent="0.25">
      <c r="A128" s="195">
        <v>106</v>
      </c>
      <c r="B128" s="196"/>
      <c r="C128" s="195"/>
      <c r="D128" s="197"/>
      <c r="E128" s="197"/>
      <c r="F128" s="197"/>
      <c r="G128" s="197"/>
      <c r="H128" s="198"/>
      <c r="I128" s="199"/>
      <c r="J128" s="200"/>
      <c r="K128" s="201"/>
      <c r="L128" s="201"/>
      <c r="M128" s="201"/>
      <c r="N128" s="201"/>
      <c r="O128" s="201"/>
      <c r="P128" s="201"/>
      <c r="Q128" s="197"/>
      <c r="R128" s="197"/>
      <c r="S128" s="202"/>
      <c r="T128" s="197"/>
      <c r="U128" s="203"/>
      <c r="V128" s="204"/>
      <c r="W128" s="205"/>
    </row>
    <row r="129" spans="1:23" ht="30" customHeight="1" x14ac:dyDescent="0.25">
      <c r="A129" s="195">
        <v>107</v>
      </c>
      <c r="B129" s="196"/>
      <c r="C129" s="195"/>
      <c r="D129" s="197"/>
      <c r="E129" s="197"/>
      <c r="F129" s="197"/>
      <c r="G129" s="197"/>
      <c r="H129" s="198"/>
      <c r="I129" s="199"/>
      <c r="J129" s="200"/>
      <c r="K129" s="201"/>
      <c r="L129" s="201"/>
      <c r="M129" s="201"/>
      <c r="N129" s="201"/>
      <c r="O129" s="201"/>
      <c r="P129" s="201"/>
      <c r="Q129" s="197"/>
      <c r="R129" s="197"/>
      <c r="S129" s="202"/>
      <c r="T129" s="197"/>
      <c r="U129" s="203"/>
      <c r="V129" s="204"/>
      <c r="W129" s="205"/>
    </row>
    <row r="130" spans="1:23" ht="30" customHeight="1" x14ac:dyDescent="0.25">
      <c r="A130" s="195">
        <v>108</v>
      </c>
      <c r="B130" s="196"/>
      <c r="C130" s="195"/>
      <c r="D130" s="197"/>
      <c r="E130" s="197"/>
      <c r="F130" s="197"/>
      <c r="G130" s="197"/>
      <c r="H130" s="198"/>
      <c r="I130" s="199"/>
      <c r="J130" s="200"/>
      <c r="K130" s="201"/>
      <c r="L130" s="201"/>
      <c r="M130" s="201"/>
      <c r="N130" s="201"/>
      <c r="O130" s="201"/>
      <c r="P130" s="201"/>
      <c r="Q130" s="197"/>
      <c r="R130" s="197"/>
      <c r="S130" s="202"/>
      <c r="T130" s="197"/>
      <c r="U130" s="203"/>
      <c r="V130" s="204"/>
      <c r="W130" s="205"/>
    </row>
    <row r="131" spans="1:23" ht="30" customHeight="1" x14ac:dyDescent="0.25">
      <c r="A131" s="195">
        <v>109</v>
      </c>
      <c r="B131" s="196"/>
      <c r="C131" s="195"/>
      <c r="D131" s="197"/>
      <c r="E131" s="197"/>
      <c r="F131" s="197"/>
      <c r="G131" s="197"/>
      <c r="H131" s="198"/>
      <c r="I131" s="199"/>
      <c r="J131" s="200"/>
      <c r="K131" s="201"/>
      <c r="L131" s="201"/>
      <c r="M131" s="201"/>
      <c r="N131" s="201"/>
      <c r="O131" s="201"/>
      <c r="P131" s="201"/>
      <c r="Q131" s="197"/>
      <c r="R131" s="197"/>
      <c r="S131" s="202"/>
      <c r="T131" s="197"/>
      <c r="U131" s="203"/>
      <c r="V131" s="204"/>
      <c r="W131" s="205"/>
    </row>
    <row r="132" spans="1:23" ht="30" customHeight="1" x14ac:dyDescent="0.25">
      <c r="A132" s="195">
        <v>110</v>
      </c>
      <c r="B132" s="196"/>
      <c r="C132" s="195"/>
      <c r="D132" s="197"/>
      <c r="E132" s="197"/>
      <c r="F132" s="197"/>
      <c r="G132" s="197"/>
      <c r="H132" s="198"/>
      <c r="I132" s="199"/>
      <c r="J132" s="200"/>
      <c r="K132" s="201"/>
      <c r="L132" s="201"/>
      <c r="M132" s="201"/>
      <c r="N132" s="201"/>
      <c r="O132" s="201"/>
      <c r="P132" s="201"/>
      <c r="Q132" s="197"/>
      <c r="R132" s="197"/>
      <c r="S132" s="202"/>
      <c r="T132" s="197"/>
      <c r="U132" s="203"/>
      <c r="V132" s="204"/>
      <c r="W132" s="205"/>
    </row>
    <row r="133" spans="1:23" ht="30" customHeight="1" x14ac:dyDescent="0.25">
      <c r="A133" s="195">
        <v>111</v>
      </c>
      <c r="B133" s="196"/>
      <c r="C133" s="195"/>
      <c r="D133" s="197"/>
      <c r="E133" s="197"/>
      <c r="F133" s="197"/>
      <c r="G133" s="197"/>
      <c r="H133" s="198"/>
      <c r="I133" s="199"/>
      <c r="J133" s="200"/>
      <c r="K133" s="201"/>
      <c r="L133" s="201"/>
      <c r="M133" s="201"/>
      <c r="N133" s="201"/>
      <c r="O133" s="201"/>
      <c r="P133" s="201"/>
      <c r="Q133" s="197"/>
      <c r="R133" s="197"/>
      <c r="S133" s="202"/>
      <c r="T133" s="197"/>
      <c r="U133" s="203"/>
      <c r="V133" s="204"/>
      <c r="W133" s="205"/>
    </row>
    <row r="134" spans="1:23" ht="30" customHeight="1" x14ac:dyDescent="0.25">
      <c r="A134" s="195">
        <v>112</v>
      </c>
      <c r="B134" s="196"/>
      <c r="C134" s="195"/>
      <c r="D134" s="197"/>
      <c r="E134" s="197"/>
      <c r="F134" s="197"/>
      <c r="G134" s="197"/>
      <c r="H134" s="198"/>
      <c r="I134" s="199"/>
      <c r="J134" s="200"/>
      <c r="K134" s="201"/>
      <c r="L134" s="201"/>
      <c r="M134" s="201"/>
      <c r="N134" s="201"/>
      <c r="O134" s="201"/>
      <c r="P134" s="201"/>
      <c r="Q134" s="197"/>
      <c r="R134" s="197"/>
      <c r="S134" s="202"/>
      <c r="T134" s="197"/>
      <c r="U134" s="203"/>
      <c r="V134" s="204"/>
      <c r="W134" s="205"/>
    </row>
    <row r="135" spans="1:23" ht="30" customHeight="1" x14ac:dyDescent="0.25">
      <c r="A135" s="195">
        <v>113</v>
      </c>
      <c r="B135" s="196"/>
      <c r="C135" s="195"/>
      <c r="D135" s="197"/>
      <c r="E135" s="197"/>
      <c r="F135" s="197"/>
      <c r="G135" s="197"/>
      <c r="H135" s="198"/>
      <c r="I135" s="199"/>
      <c r="J135" s="200"/>
      <c r="K135" s="201"/>
      <c r="L135" s="201"/>
      <c r="M135" s="201"/>
      <c r="N135" s="201"/>
      <c r="O135" s="201"/>
      <c r="P135" s="201"/>
      <c r="Q135" s="197"/>
      <c r="R135" s="197"/>
      <c r="S135" s="202"/>
      <c r="T135" s="197"/>
      <c r="U135" s="203"/>
      <c r="V135" s="204"/>
      <c r="W135" s="205"/>
    </row>
    <row r="136" spans="1:23" ht="30" customHeight="1" x14ac:dyDescent="0.25">
      <c r="A136" s="195">
        <v>114</v>
      </c>
      <c r="B136" s="196"/>
      <c r="C136" s="195"/>
      <c r="D136" s="197"/>
      <c r="E136" s="197"/>
      <c r="F136" s="197"/>
      <c r="G136" s="197"/>
      <c r="H136" s="198"/>
      <c r="I136" s="199"/>
      <c r="J136" s="200"/>
      <c r="K136" s="201"/>
      <c r="L136" s="201"/>
      <c r="M136" s="201"/>
      <c r="N136" s="201"/>
      <c r="O136" s="201"/>
      <c r="P136" s="201"/>
      <c r="Q136" s="197"/>
      <c r="R136" s="197"/>
      <c r="S136" s="202"/>
      <c r="T136" s="197"/>
      <c r="U136" s="203"/>
      <c r="V136" s="204"/>
      <c r="W136" s="205"/>
    </row>
    <row r="137" spans="1:23" ht="30" customHeight="1" x14ac:dyDescent="0.25">
      <c r="A137" s="195">
        <v>115</v>
      </c>
      <c r="B137" s="196"/>
      <c r="C137" s="195"/>
      <c r="D137" s="197"/>
      <c r="E137" s="197"/>
      <c r="F137" s="197"/>
      <c r="G137" s="197"/>
      <c r="H137" s="198"/>
      <c r="I137" s="199"/>
      <c r="J137" s="200"/>
      <c r="K137" s="201"/>
      <c r="L137" s="201"/>
      <c r="M137" s="201"/>
      <c r="N137" s="201"/>
      <c r="O137" s="201"/>
      <c r="P137" s="201"/>
      <c r="Q137" s="197"/>
      <c r="R137" s="197"/>
      <c r="S137" s="202"/>
      <c r="T137" s="197"/>
      <c r="U137" s="203"/>
      <c r="V137" s="204"/>
      <c r="W137" s="205"/>
    </row>
    <row r="138" spans="1:23" ht="30" customHeight="1" x14ac:dyDescent="0.25">
      <c r="A138" s="195">
        <v>116</v>
      </c>
      <c r="B138" s="196"/>
      <c r="C138" s="195"/>
      <c r="D138" s="197"/>
      <c r="E138" s="197"/>
      <c r="F138" s="197"/>
      <c r="G138" s="197"/>
      <c r="H138" s="198"/>
      <c r="I138" s="199"/>
      <c r="J138" s="200"/>
      <c r="K138" s="201"/>
      <c r="L138" s="201"/>
      <c r="M138" s="201"/>
      <c r="N138" s="201"/>
      <c r="O138" s="201"/>
      <c r="P138" s="201"/>
      <c r="Q138" s="197"/>
      <c r="R138" s="197"/>
      <c r="S138" s="202"/>
      <c r="T138" s="197"/>
      <c r="U138" s="203"/>
      <c r="V138" s="204"/>
      <c r="W138" s="205"/>
    </row>
    <row r="139" spans="1:23" ht="30" customHeight="1" x14ac:dyDescent="0.25">
      <c r="A139" s="195">
        <v>117</v>
      </c>
      <c r="B139" s="196"/>
      <c r="C139" s="195"/>
      <c r="D139" s="197"/>
      <c r="E139" s="197"/>
      <c r="F139" s="197"/>
      <c r="G139" s="197"/>
      <c r="H139" s="198"/>
      <c r="I139" s="199"/>
      <c r="J139" s="200"/>
      <c r="K139" s="201"/>
      <c r="L139" s="201"/>
      <c r="M139" s="201"/>
      <c r="N139" s="201"/>
      <c r="O139" s="201"/>
      <c r="P139" s="201"/>
      <c r="Q139" s="197"/>
      <c r="R139" s="197"/>
      <c r="S139" s="202"/>
      <c r="T139" s="197"/>
      <c r="U139" s="203"/>
      <c r="V139" s="204"/>
      <c r="W139" s="205"/>
    </row>
    <row r="140" spans="1:23" ht="30" customHeight="1" x14ac:dyDescent="0.25">
      <c r="A140" s="195">
        <v>118</v>
      </c>
      <c r="B140" s="196"/>
      <c r="C140" s="195"/>
      <c r="D140" s="197"/>
      <c r="E140" s="197"/>
      <c r="F140" s="197"/>
      <c r="G140" s="197"/>
      <c r="H140" s="198"/>
      <c r="I140" s="199"/>
      <c r="J140" s="200"/>
      <c r="K140" s="201"/>
      <c r="L140" s="201"/>
      <c r="M140" s="201"/>
      <c r="N140" s="201"/>
      <c r="O140" s="201"/>
      <c r="P140" s="201"/>
      <c r="Q140" s="197"/>
      <c r="R140" s="197"/>
      <c r="S140" s="202"/>
      <c r="T140" s="197"/>
      <c r="U140" s="203"/>
      <c r="V140" s="204"/>
      <c r="W140" s="205"/>
    </row>
    <row r="141" spans="1:23" ht="30" customHeight="1" x14ac:dyDescent="0.25">
      <c r="A141" s="195">
        <v>119</v>
      </c>
      <c r="B141" s="196"/>
      <c r="C141" s="195"/>
      <c r="D141" s="197"/>
      <c r="E141" s="197"/>
      <c r="F141" s="197"/>
      <c r="G141" s="197"/>
      <c r="H141" s="198"/>
      <c r="I141" s="199"/>
      <c r="J141" s="200"/>
      <c r="K141" s="201"/>
      <c r="L141" s="201"/>
      <c r="M141" s="201"/>
      <c r="N141" s="201"/>
      <c r="O141" s="201"/>
      <c r="P141" s="201"/>
      <c r="Q141" s="197"/>
      <c r="R141" s="197"/>
      <c r="S141" s="202"/>
      <c r="T141" s="197"/>
      <c r="U141" s="203"/>
      <c r="V141" s="204"/>
      <c r="W141" s="205"/>
    </row>
    <row r="142" spans="1:23" ht="30" customHeight="1" x14ac:dyDescent="0.25">
      <c r="A142" s="195">
        <v>120</v>
      </c>
      <c r="B142" s="196"/>
      <c r="C142" s="195"/>
      <c r="D142" s="197"/>
      <c r="E142" s="197"/>
      <c r="F142" s="197"/>
      <c r="G142" s="197"/>
      <c r="H142" s="198"/>
      <c r="I142" s="199"/>
      <c r="J142" s="200"/>
      <c r="K142" s="201"/>
      <c r="L142" s="201"/>
      <c r="M142" s="201"/>
      <c r="N142" s="201"/>
      <c r="O142" s="201"/>
      <c r="P142" s="201"/>
      <c r="Q142" s="197"/>
      <c r="R142" s="197"/>
      <c r="S142" s="202"/>
      <c r="T142" s="197"/>
      <c r="U142" s="203"/>
      <c r="V142" s="204"/>
      <c r="W142" s="205"/>
    </row>
    <row r="143" spans="1:23" ht="30" customHeight="1" x14ac:dyDescent="0.25">
      <c r="A143" s="195">
        <v>121</v>
      </c>
      <c r="B143" s="196"/>
      <c r="C143" s="195"/>
      <c r="D143" s="197"/>
      <c r="E143" s="197"/>
      <c r="F143" s="197"/>
      <c r="G143" s="197"/>
      <c r="H143" s="198"/>
      <c r="I143" s="199"/>
      <c r="J143" s="200"/>
      <c r="K143" s="201"/>
      <c r="L143" s="201"/>
      <c r="M143" s="201"/>
      <c r="N143" s="201"/>
      <c r="O143" s="201"/>
      <c r="P143" s="201"/>
      <c r="Q143" s="197"/>
      <c r="R143" s="197"/>
      <c r="S143" s="202"/>
      <c r="T143" s="197"/>
      <c r="U143" s="203"/>
      <c r="V143" s="204"/>
      <c r="W143" s="205"/>
    </row>
    <row r="144" spans="1:23" ht="30" customHeight="1" x14ac:dyDescent="0.25">
      <c r="A144" s="195">
        <v>122</v>
      </c>
      <c r="B144" s="196"/>
      <c r="C144" s="195"/>
      <c r="D144" s="197"/>
      <c r="E144" s="197"/>
      <c r="F144" s="197"/>
      <c r="G144" s="197"/>
      <c r="H144" s="198"/>
      <c r="I144" s="199"/>
      <c r="J144" s="200"/>
      <c r="K144" s="201"/>
      <c r="L144" s="201"/>
      <c r="M144" s="201"/>
      <c r="N144" s="201"/>
      <c r="O144" s="201"/>
      <c r="P144" s="201"/>
      <c r="Q144" s="197"/>
      <c r="R144" s="197"/>
      <c r="S144" s="202"/>
      <c r="T144" s="197"/>
      <c r="U144" s="203"/>
      <c r="V144" s="204"/>
      <c r="W144" s="205"/>
    </row>
    <row r="145" spans="1:23" ht="30" customHeight="1" x14ac:dyDescent="0.25">
      <c r="A145" s="195">
        <v>123</v>
      </c>
      <c r="B145" s="196"/>
      <c r="C145" s="195"/>
      <c r="D145" s="197"/>
      <c r="E145" s="197"/>
      <c r="F145" s="197"/>
      <c r="G145" s="197"/>
      <c r="H145" s="198"/>
      <c r="I145" s="199"/>
      <c r="J145" s="200"/>
      <c r="K145" s="201"/>
      <c r="L145" s="201"/>
      <c r="M145" s="201"/>
      <c r="N145" s="201"/>
      <c r="O145" s="201"/>
      <c r="P145" s="201"/>
      <c r="Q145" s="197"/>
      <c r="R145" s="197"/>
      <c r="S145" s="202"/>
      <c r="T145" s="197"/>
      <c r="U145" s="203"/>
      <c r="V145" s="204"/>
      <c r="W145" s="205"/>
    </row>
    <row r="146" spans="1:23" ht="30" customHeight="1" x14ac:dyDescent="0.25">
      <c r="A146" s="195">
        <v>124</v>
      </c>
      <c r="B146" s="196"/>
      <c r="C146" s="195"/>
      <c r="D146" s="197"/>
      <c r="E146" s="197"/>
      <c r="F146" s="197"/>
      <c r="G146" s="197"/>
      <c r="H146" s="198"/>
      <c r="I146" s="199"/>
      <c r="J146" s="200"/>
      <c r="K146" s="201"/>
      <c r="L146" s="201"/>
      <c r="M146" s="201"/>
      <c r="N146" s="201"/>
      <c r="O146" s="201"/>
      <c r="P146" s="201"/>
      <c r="Q146" s="197"/>
      <c r="R146" s="197"/>
      <c r="S146" s="202"/>
      <c r="T146" s="197"/>
      <c r="U146" s="203"/>
      <c r="V146" s="204"/>
      <c r="W146" s="205"/>
    </row>
    <row r="147" spans="1:23" ht="30" customHeight="1" x14ac:dyDescent="0.25">
      <c r="A147" s="195">
        <v>125</v>
      </c>
      <c r="B147" s="196"/>
      <c r="C147" s="195"/>
      <c r="D147" s="197"/>
      <c r="E147" s="197"/>
      <c r="F147" s="197"/>
      <c r="G147" s="197"/>
      <c r="H147" s="198"/>
      <c r="I147" s="199"/>
      <c r="J147" s="200"/>
      <c r="K147" s="201"/>
      <c r="L147" s="201"/>
      <c r="M147" s="201"/>
      <c r="N147" s="201"/>
      <c r="O147" s="201"/>
      <c r="P147" s="201"/>
      <c r="Q147" s="197"/>
      <c r="R147" s="197"/>
      <c r="S147" s="202"/>
      <c r="T147" s="197"/>
      <c r="U147" s="203"/>
      <c r="V147" s="204"/>
      <c r="W147" s="205"/>
    </row>
    <row r="148" spans="1:23" ht="30" customHeight="1" x14ac:dyDescent="0.25">
      <c r="A148" s="195">
        <v>126</v>
      </c>
      <c r="B148" s="196"/>
      <c r="C148" s="195"/>
      <c r="D148" s="197"/>
      <c r="E148" s="197"/>
      <c r="F148" s="197"/>
      <c r="G148" s="197"/>
      <c r="H148" s="198"/>
      <c r="I148" s="199"/>
      <c r="J148" s="200"/>
      <c r="K148" s="201"/>
      <c r="L148" s="201"/>
      <c r="M148" s="201"/>
      <c r="N148" s="201"/>
      <c r="O148" s="201"/>
      <c r="P148" s="201"/>
      <c r="Q148" s="197"/>
      <c r="R148" s="197"/>
      <c r="S148" s="202"/>
      <c r="T148" s="197"/>
      <c r="U148" s="203"/>
      <c r="V148" s="204"/>
      <c r="W148" s="205"/>
    </row>
    <row r="149" spans="1:23" ht="30" customHeight="1" x14ac:dyDescent="0.25">
      <c r="A149" s="195">
        <v>127</v>
      </c>
      <c r="B149" s="196"/>
      <c r="C149" s="195"/>
      <c r="D149" s="197"/>
      <c r="E149" s="197"/>
      <c r="F149" s="197"/>
      <c r="G149" s="197"/>
      <c r="H149" s="198"/>
      <c r="I149" s="199"/>
      <c r="J149" s="200"/>
      <c r="K149" s="201"/>
      <c r="L149" s="201"/>
      <c r="M149" s="201"/>
      <c r="N149" s="201"/>
      <c r="O149" s="201"/>
      <c r="P149" s="201"/>
      <c r="Q149" s="197"/>
      <c r="R149" s="197"/>
      <c r="S149" s="202"/>
      <c r="T149" s="197"/>
      <c r="U149" s="203"/>
      <c r="V149" s="204"/>
      <c r="W149" s="205"/>
    </row>
    <row r="150" spans="1:23" ht="30" customHeight="1" x14ac:dyDescent="0.25">
      <c r="A150" s="195">
        <v>128</v>
      </c>
      <c r="B150" s="196"/>
      <c r="C150" s="195"/>
      <c r="D150" s="197"/>
      <c r="E150" s="197"/>
      <c r="F150" s="197"/>
      <c r="G150" s="197"/>
      <c r="H150" s="198"/>
      <c r="I150" s="199"/>
      <c r="J150" s="200"/>
      <c r="K150" s="201"/>
      <c r="L150" s="201"/>
      <c r="M150" s="201"/>
      <c r="N150" s="201"/>
      <c r="O150" s="201"/>
      <c r="P150" s="201"/>
      <c r="Q150" s="197"/>
      <c r="R150" s="197"/>
      <c r="S150" s="202"/>
      <c r="T150" s="197"/>
      <c r="U150" s="203"/>
      <c r="V150" s="204"/>
      <c r="W150" s="205"/>
    </row>
    <row r="151" spans="1:23" ht="30" customHeight="1" x14ac:dyDescent="0.25">
      <c r="A151" s="195">
        <v>129</v>
      </c>
      <c r="B151" s="196"/>
      <c r="C151" s="195"/>
      <c r="D151" s="197"/>
      <c r="E151" s="197"/>
      <c r="F151" s="197"/>
      <c r="G151" s="197"/>
      <c r="H151" s="198"/>
      <c r="I151" s="199"/>
      <c r="J151" s="200"/>
      <c r="K151" s="201"/>
      <c r="L151" s="201"/>
      <c r="M151" s="201"/>
      <c r="N151" s="201"/>
      <c r="O151" s="201"/>
      <c r="P151" s="201"/>
      <c r="Q151" s="197"/>
      <c r="R151" s="197"/>
      <c r="S151" s="202"/>
      <c r="T151" s="197"/>
      <c r="U151" s="203"/>
      <c r="V151" s="204"/>
      <c r="W151" s="205"/>
    </row>
    <row r="152" spans="1:23" ht="30" customHeight="1" x14ac:dyDescent="0.25">
      <c r="A152" s="195">
        <v>130</v>
      </c>
      <c r="B152" s="196"/>
      <c r="C152" s="195"/>
      <c r="D152" s="197"/>
      <c r="E152" s="197"/>
      <c r="F152" s="197"/>
      <c r="G152" s="197"/>
      <c r="H152" s="198"/>
      <c r="I152" s="199"/>
      <c r="J152" s="200"/>
      <c r="K152" s="201"/>
      <c r="L152" s="201"/>
      <c r="M152" s="201"/>
      <c r="N152" s="201"/>
      <c r="O152" s="201"/>
      <c r="P152" s="201"/>
      <c r="Q152" s="197"/>
      <c r="R152" s="197"/>
      <c r="S152" s="202"/>
      <c r="T152" s="197"/>
      <c r="U152" s="203"/>
      <c r="V152" s="204"/>
      <c r="W152" s="205"/>
    </row>
    <row r="153" spans="1:23" ht="30" customHeight="1" x14ac:dyDescent="0.25">
      <c r="A153" s="195">
        <v>131</v>
      </c>
      <c r="B153" s="196"/>
      <c r="C153" s="195"/>
      <c r="D153" s="197"/>
      <c r="E153" s="197"/>
      <c r="F153" s="197"/>
      <c r="G153" s="197"/>
      <c r="H153" s="198"/>
      <c r="I153" s="199"/>
      <c r="J153" s="200"/>
      <c r="K153" s="201"/>
      <c r="L153" s="201"/>
      <c r="M153" s="201"/>
      <c r="N153" s="201"/>
      <c r="O153" s="201"/>
      <c r="P153" s="201"/>
      <c r="Q153" s="197"/>
      <c r="R153" s="197"/>
      <c r="S153" s="202"/>
      <c r="T153" s="197"/>
      <c r="U153" s="203"/>
      <c r="V153" s="204"/>
      <c r="W153" s="205"/>
    </row>
    <row r="154" spans="1:23" ht="30" customHeight="1" x14ac:dyDescent="0.25">
      <c r="A154" s="195">
        <v>132</v>
      </c>
      <c r="B154" s="196"/>
      <c r="C154" s="195"/>
      <c r="D154" s="197"/>
      <c r="E154" s="197"/>
      <c r="F154" s="197"/>
      <c r="G154" s="197"/>
      <c r="H154" s="198"/>
      <c r="I154" s="199"/>
      <c r="J154" s="200"/>
      <c r="K154" s="201"/>
      <c r="L154" s="201"/>
      <c r="M154" s="201"/>
      <c r="N154" s="201"/>
      <c r="O154" s="201"/>
      <c r="P154" s="201"/>
      <c r="Q154" s="197"/>
      <c r="R154" s="197"/>
      <c r="S154" s="202"/>
      <c r="T154" s="197"/>
      <c r="U154" s="203"/>
      <c r="V154" s="204"/>
      <c r="W154" s="205"/>
    </row>
    <row r="155" spans="1:23" ht="30" customHeight="1" x14ac:dyDescent="0.25">
      <c r="A155" s="195">
        <v>133</v>
      </c>
      <c r="B155" s="196"/>
      <c r="C155" s="195"/>
      <c r="D155" s="197"/>
      <c r="E155" s="197"/>
      <c r="F155" s="197"/>
      <c r="G155" s="197"/>
      <c r="H155" s="198"/>
      <c r="I155" s="199"/>
      <c r="J155" s="200"/>
      <c r="K155" s="201"/>
      <c r="L155" s="201"/>
      <c r="M155" s="201"/>
      <c r="N155" s="201"/>
      <c r="O155" s="201"/>
      <c r="P155" s="201"/>
      <c r="Q155" s="197"/>
      <c r="R155" s="197"/>
      <c r="S155" s="202"/>
      <c r="T155" s="197"/>
      <c r="U155" s="203"/>
      <c r="V155" s="204"/>
      <c r="W155" s="205"/>
    </row>
    <row r="156" spans="1:23" ht="30" customHeight="1" x14ac:dyDescent="0.25">
      <c r="A156" s="195">
        <v>134</v>
      </c>
      <c r="B156" s="196"/>
      <c r="C156" s="195"/>
      <c r="D156" s="197"/>
      <c r="E156" s="197"/>
      <c r="F156" s="197"/>
      <c r="G156" s="197"/>
      <c r="H156" s="198"/>
      <c r="I156" s="199"/>
      <c r="J156" s="200"/>
      <c r="K156" s="201"/>
      <c r="L156" s="201"/>
      <c r="M156" s="201"/>
      <c r="N156" s="201"/>
      <c r="O156" s="201"/>
      <c r="P156" s="201"/>
      <c r="Q156" s="197"/>
      <c r="R156" s="197"/>
      <c r="S156" s="202"/>
      <c r="T156" s="197"/>
      <c r="U156" s="203"/>
      <c r="V156" s="204"/>
      <c r="W156" s="205"/>
    </row>
    <row r="157" spans="1:23" ht="30" customHeight="1" x14ac:dyDescent="0.25">
      <c r="A157" s="195">
        <v>135</v>
      </c>
      <c r="B157" s="196"/>
      <c r="C157" s="195"/>
      <c r="D157" s="197"/>
      <c r="E157" s="197"/>
      <c r="F157" s="197"/>
      <c r="G157" s="197"/>
      <c r="H157" s="198"/>
      <c r="I157" s="199"/>
      <c r="J157" s="200"/>
      <c r="K157" s="201"/>
      <c r="L157" s="201"/>
      <c r="M157" s="201"/>
      <c r="N157" s="201"/>
      <c r="O157" s="201"/>
      <c r="P157" s="201"/>
      <c r="Q157" s="197"/>
      <c r="R157" s="197"/>
      <c r="S157" s="202"/>
      <c r="T157" s="197"/>
      <c r="U157" s="203"/>
      <c r="V157" s="204"/>
      <c r="W157" s="205"/>
    </row>
    <row r="158" spans="1:23" ht="30" customHeight="1" x14ac:dyDescent="0.25">
      <c r="A158" s="195">
        <v>136</v>
      </c>
      <c r="B158" s="196"/>
      <c r="C158" s="195"/>
      <c r="D158" s="197"/>
      <c r="E158" s="197"/>
      <c r="F158" s="197"/>
      <c r="G158" s="197"/>
      <c r="H158" s="198"/>
      <c r="I158" s="199"/>
      <c r="J158" s="200"/>
      <c r="K158" s="201"/>
      <c r="L158" s="201"/>
      <c r="M158" s="201"/>
      <c r="N158" s="201"/>
      <c r="O158" s="201"/>
      <c r="P158" s="201"/>
      <c r="Q158" s="197"/>
      <c r="R158" s="197"/>
      <c r="S158" s="202"/>
      <c r="T158" s="197"/>
      <c r="U158" s="203"/>
      <c r="V158" s="204"/>
      <c r="W158" s="205"/>
    </row>
    <row r="159" spans="1:23" ht="30" customHeight="1" x14ac:dyDescent="0.25">
      <c r="A159" s="195">
        <v>137</v>
      </c>
      <c r="B159" s="196"/>
      <c r="C159" s="195"/>
      <c r="D159" s="197"/>
      <c r="E159" s="197"/>
      <c r="F159" s="197"/>
      <c r="G159" s="197"/>
      <c r="H159" s="198"/>
      <c r="I159" s="199"/>
      <c r="J159" s="200"/>
      <c r="K159" s="201"/>
      <c r="L159" s="201"/>
      <c r="M159" s="201"/>
      <c r="N159" s="201"/>
      <c r="O159" s="201"/>
      <c r="P159" s="201"/>
      <c r="Q159" s="197"/>
      <c r="R159" s="197"/>
      <c r="S159" s="202"/>
      <c r="T159" s="197"/>
      <c r="U159" s="203"/>
      <c r="V159" s="204"/>
      <c r="W159" s="205"/>
    </row>
    <row r="160" spans="1:23" ht="30" customHeight="1" x14ac:dyDescent="0.25">
      <c r="A160" s="195">
        <v>138</v>
      </c>
      <c r="B160" s="196"/>
      <c r="C160" s="195"/>
      <c r="D160" s="197"/>
      <c r="E160" s="197"/>
      <c r="F160" s="197"/>
      <c r="G160" s="197"/>
      <c r="H160" s="198"/>
      <c r="I160" s="199"/>
      <c r="J160" s="200"/>
      <c r="K160" s="201"/>
      <c r="L160" s="201"/>
      <c r="M160" s="201"/>
      <c r="N160" s="201"/>
      <c r="O160" s="201"/>
      <c r="P160" s="201"/>
      <c r="Q160" s="197"/>
      <c r="R160" s="197"/>
      <c r="S160" s="202"/>
      <c r="T160" s="197"/>
      <c r="U160" s="203"/>
      <c r="V160" s="204"/>
      <c r="W160" s="205"/>
    </row>
    <row r="161" spans="1:23" ht="30" customHeight="1" x14ac:dyDescent="0.25">
      <c r="A161" s="195">
        <v>139</v>
      </c>
      <c r="B161" s="196"/>
      <c r="C161" s="195"/>
      <c r="D161" s="197"/>
      <c r="E161" s="197"/>
      <c r="F161" s="197"/>
      <c r="G161" s="197"/>
      <c r="H161" s="198"/>
      <c r="I161" s="199"/>
      <c r="J161" s="200"/>
      <c r="K161" s="201"/>
      <c r="L161" s="201"/>
      <c r="M161" s="201"/>
      <c r="N161" s="201"/>
      <c r="O161" s="201"/>
      <c r="P161" s="201"/>
      <c r="Q161" s="197"/>
      <c r="R161" s="197"/>
      <c r="S161" s="202"/>
      <c r="T161" s="197"/>
      <c r="U161" s="203"/>
      <c r="V161" s="204"/>
      <c r="W161" s="205"/>
    </row>
    <row r="162" spans="1:23" ht="30" customHeight="1" x14ac:dyDescent="0.25">
      <c r="A162" s="195">
        <v>140</v>
      </c>
      <c r="B162" s="196"/>
      <c r="C162" s="195"/>
      <c r="D162" s="197"/>
      <c r="E162" s="197"/>
      <c r="F162" s="197"/>
      <c r="G162" s="197"/>
      <c r="H162" s="198"/>
      <c r="I162" s="199"/>
      <c r="J162" s="200"/>
      <c r="K162" s="201"/>
      <c r="L162" s="201"/>
      <c r="M162" s="201"/>
      <c r="N162" s="201"/>
      <c r="O162" s="201"/>
      <c r="P162" s="201"/>
      <c r="Q162" s="197"/>
      <c r="R162" s="197"/>
      <c r="S162" s="202"/>
      <c r="T162" s="197"/>
      <c r="U162" s="203"/>
      <c r="V162" s="204"/>
      <c r="W162" s="205"/>
    </row>
    <row r="163" spans="1:23" ht="30" customHeight="1" x14ac:dyDescent="0.25">
      <c r="A163" s="195">
        <v>141</v>
      </c>
      <c r="B163" s="196"/>
      <c r="C163" s="195"/>
      <c r="D163" s="197"/>
      <c r="E163" s="197"/>
      <c r="F163" s="197"/>
      <c r="G163" s="197"/>
      <c r="H163" s="198"/>
      <c r="I163" s="199"/>
      <c r="J163" s="200"/>
      <c r="K163" s="201"/>
      <c r="L163" s="201"/>
      <c r="M163" s="201"/>
      <c r="N163" s="201"/>
      <c r="O163" s="201"/>
      <c r="P163" s="201"/>
      <c r="Q163" s="197"/>
      <c r="R163" s="197"/>
      <c r="S163" s="202"/>
      <c r="T163" s="197"/>
      <c r="U163" s="203"/>
      <c r="V163" s="204"/>
      <c r="W163" s="205"/>
    </row>
    <row r="164" spans="1:23" ht="30" customHeight="1" x14ac:dyDescent="0.25">
      <c r="A164" s="195">
        <v>142</v>
      </c>
      <c r="B164" s="196"/>
      <c r="C164" s="195"/>
      <c r="D164" s="197"/>
      <c r="E164" s="197"/>
      <c r="F164" s="197"/>
      <c r="G164" s="197"/>
      <c r="H164" s="198"/>
      <c r="I164" s="199"/>
      <c r="J164" s="200"/>
      <c r="K164" s="201"/>
      <c r="L164" s="201"/>
      <c r="M164" s="201"/>
      <c r="N164" s="201"/>
      <c r="O164" s="201"/>
      <c r="P164" s="201"/>
      <c r="Q164" s="197"/>
      <c r="R164" s="197"/>
      <c r="S164" s="202"/>
      <c r="T164" s="197"/>
      <c r="U164" s="203"/>
      <c r="V164" s="204"/>
      <c r="W164" s="205"/>
    </row>
    <row r="165" spans="1:23" ht="30" customHeight="1" x14ac:dyDescent="0.25">
      <c r="A165" s="195">
        <v>143</v>
      </c>
      <c r="B165" s="196"/>
      <c r="C165" s="195"/>
      <c r="D165" s="197"/>
      <c r="E165" s="197"/>
      <c r="F165" s="197"/>
      <c r="G165" s="197"/>
      <c r="H165" s="198"/>
      <c r="I165" s="199"/>
      <c r="J165" s="200"/>
      <c r="K165" s="201"/>
      <c r="L165" s="201"/>
      <c r="M165" s="201"/>
      <c r="N165" s="201"/>
      <c r="O165" s="201"/>
      <c r="P165" s="201"/>
      <c r="Q165" s="197"/>
      <c r="R165" s="197"/>
      <c r="S165" s="202"/>
      <c r="T165" s="197"/>
      <c r="U165" s="203"/>
      <c r="V165" s="204"/>
      <c r="W165" s="205"/>
    </row>
    <row r="166" spans="1:23" ht="30" customHeight="1" x14ac:dyDescent="0.25">
      <c r="A166" s="195">
        <v>144</v>
      </c>
      <c r="B166" s="196"/>
      <c r="C166" s="195"/>
      <c r="D166" s="197"/>
      <c r="E166" s="197"/>
      <c r="F166" s="197"/>
      <c r="G166" s="197"/>
      <c r="H166" s="198"/>
      <c r="I166" s="199"/>
      <c r="J166" s="200"/>
      <c r="K166" s="201"/>
      <c r="L166" s="201"/>
      <c r="M166" s="201"/>
      <c r="N166" s="201"/>
      <c r="O166" s="201"/>
      <c r="P166" s="201"/>
      <c r="Q166" s="197"/>
      <c r="R166" s="197"/>
      <c r="S166" s="202"/>
      <c r="T166" s="197"/>
      <c r="U166" s="203"/>
      <c r="V166" s="204"/>
      <c r="W166" s="205"/>
    </row>
    <row r="167" spans="1:23" ht="30" customHeight="1" x14ac:dyDescent="0.25">
      <c r="A167" s="195">
        <v>145</v>
      </c>
      <c r="B167" s="196"/>
      <c r="C167" s="195"/>
      <c r="D167" s="197"/>
      <c r="E167" s="197"/>
      <c r="F167" s="197"/>
      <c r="G167" s="197"/>
      <c r="H167" s="198"/>
      <c r="I167" s="199"/>
      <c r="J167" s="200"/>
      <c r="K167" s="201"/>
      <c r="L167" s="201"/>
      <c r="M167" s="201"/>
      <c r="N167" s="201"/>
      <c r="O167" s="201"/>
      <c r="P167" s="201"/>
      <c r="Q167" s="197"/>
      <c r="R167" s="197"/>
      <c r="S167" s="202"/>
      <c r="T167" s="197"/>
      <c r="U167" s="203"/>
      <c r="V167" s="204"/>
      <c r="W167" s="205"/>
    </row>
    <row r="168" spans="1:23" ht="30" customHeight="1" x14ac:dyDescent="0.25">
      <c r="A168" s="195">
        <v>146</v>
      </c>
      <c r="B168" s="196"/>
      <c r="C168" s="195"/>
      <c r="D168" s="197"/>
      <c r="E168" s="197"/>
      <c r="F168" s="197"/>
      <c r="G168" s="197"/>
      <c r="H168" s="198"/>
      <c r="I168" s="199"/>
      <c r="J168" s="200"/>
      <c r="K168" s="201"/>
      <c r="L168" s="201"/>
      <c r="M168" s="201"/>
      <c r="N168" s="201"/>
      <c r="O168" s="201"/>
      <c r="P168" s="201"/>
      <c r="Q168" s="197"/>
      <c r="R168" s="197"/>
      <c r="S168" s="202"/>
      <c r="T168" s="197"/>
      <c r="U168" s="203"/>
      <c r="V168" s="204"/>
      <c r="W168" s="205"/>
    </row>
    <row r="169" spans="1:23" ht="30" customHeight="1" x14ac:dyDescent="0.25">
      <c r="A169" s="195">
        <v>147</v>
      </c>
      <c r="B169" s="196"/>
      <c r="C169" s="195"/>
      <c r="D169" s="197"/>
      <c r="E169" s="197"/>
      <c r="F169" s="197"/>
      <c r="G169" s="197"/>
      <c r="H169" s="198"/>
      <c r="I169" s="199"/>
      <c r="J169" s="200"/>
      <c r="K169" s="201"/>
      <c r="L169" s="201"/>
      <c r="M169" s="201"/>
      <c r="N169" s="201"/>
      <c r="O169" s="201"/>
      <c r="P169" s="201"/>
      <c r="Q169" s="197"/>
      <c r="R169" s="197"/>
      <c r="S169" s="202"/>
      <c r="T169" s="197"/>
      <c r="U169" s="203"/>
      <c r="V169" s="204"/>
      <c r="W169" s="205"/>
    </row>
    <row r="170" spans="1:23" ht="30" customHeight="1" x14ac:dyDescent="0.25">
      <c r="A170" s="195">
        <v>148</v>
      </c>
      <c r="B170" s="196"/>
      <c r="C170" s="195"/>
      <c r="D170" s="197"/>
      <c r="E170" s="197"/>
      <c r="F170" s="197"/>
      <c r="G170" s="197"/>
      <c r="H170" s="198"/>
      <c r="I170" s="199"/>
      <c r="J170" s="200"/>
      <c r="K170" s="201"/>
      <c r="L170" s="201"/>
      <c r="M170" s="201"/>
      <c r="N170" s="201"/>
      <c r="O170" s="201"/>
      <c r="P170" s="201"/>
      <c r="Q170" s="197"/>
      <c r="R170" s="197"/>
      <c r="S170" s="202"/>
      <c r="T170" s="197"/>
      <c r="U170" s="203"/>
      <c r="V170" s="204"/>
      <c r="W170" s="205"/>
    </row>
    <row r="171" spans="1:23" ht="30" customHeight="1" x14ac:dyDescent="0.25">
      <c r="A171" s="195">
        <v>149</v>
      </c>
      <c r="B171" s="196"/>
      <c r="C171" s="195"/>
      <c r="D171" s="197"/>
      <c r="E171" s="197"/>
      <c r="F171" s="197"/>
      <c r="G171" s="197"/>
      <c r="H171" s="198"/>
      <c r="I171" s="199"/>
      <c r="J171" s="200"/>
      <c r="K171" s="201"/>
      <c r="L171" s="201"/>
      <c r="M171" s="201"/>
      <c r="N171" s="201"/>
      <c r="O171" s="201"/>
      <c r="P171" s="201"/>
      <c r="Q171" s="197"/>
      <c r="R171" s="197"/>
      <c r="S171" s="202"/>
      <c r="T171" s="197"/>
      <c r="U171" s="203"/>
      <c r="V171" s="204"/>
      <c r="W171" s="205"/>
    </row>
    <row r="172" spans="1:23" ht="30" customHeight="1" x14ac:dyDescent="0.25">
      <c r="A172" s="195">
        <v>150</v>
      </c>
      <c r="B172" s="196"/>
      <c r="C172" s="195"/>
      <c r="D172" s="197"/>
      <c r="E172" s="197"/>
      <c r="F172" s="197"/>
      <c r="G172" s="197"/>
      <c r="H172" s="198"/>
      <c r="I172" s="199"/>
      <c r="J172" s="200"/>
      <c r="K172" s="201"/>
      <c r="L172" s="201"/>
      <c r="M172" s="201"/>
      <c r="N172" s="201"/>
      <c r="O172" s="201"/>
      <c r="P172" s="201"/>
      <c r="Q172" s="197"/>
      <c r="R172" s="197"/>
      <c r="S172" s="202"/>
      <c r="T172" s="197"/>
      <c r="U172" s="203"/>
      <c r="V172" s="204"/>
      <c r="W172" s="205"/>
    </row>
    <row r="173" spans="1:23" ht="30" customHeight="1" x14ac:dyDescent="0.25">
      <c r="A173" s="195">
        <v>151</v>
      </c>
      <c r="B173" s="196"/>
      <c r="C173" s="195"/>
      <c r="D173" s="197"/>
      <c r="E173" s="197"/>
      <c r="F173" s="197"/>
      <c r="G173" s="197"/>
      <c r="H173" s="198"/>
      <c r="I173" s="199"/>
      <c r="J173" s="200"/>
      <c r="K173" s="201"/>
      <c r="L173" s="201"/>
      <c r="M173" s="201"/>
      <c r="N173" s="201"/>
      <c r="O173" s="201"/>
      <c r="P173" s="201"/>
      <c r="Q173" s="197"/>
      <c r="R173" s="197"/>
      <c r="S173" s="202"/>
      <c r="T173" s="197"/>
      <c r="U173" s="203"/>
      <c r="V173" s="204"/>
      <c r="W173" s="205"/>
    </row>
    <row r="174" spans="1:23" ht="30" customHeight="1" x14ac:dyDescent="0.25">
      <c r="A174" s="195">
        <v>152</v>
      </c>
      <c r="B174" s="196"/>
      <c r="C174" s="195"/>
      <c r="D174" s="197"/>
      <c r="E174" s="197"/>
      <c r="F174" s="197"/>
      <c r="G174" s="197"/>
      <c r="H174" s="198"/>
      <c r="I174" s="199"/>
      <c r="J174" s="200"/>
      <c r="K174" s="201"/>
      <c r="L174" s="201"/>
      <c r="M174" s="201"/>
      <c r="N174" s="201"/>
      <c r="O174" s="201"/>
      <c r="P174" s="201"/>
      <c r="Q174" s="197"/>
      <c r="R174" s="197"/>
      <c r="S174" s="202"/>
      <c r="T174" s="197"/>
      <c r="U174" s="203"/>
      <c r="V174" s="204"/>
      <c r="W174" s="205"/>
    </row>
    <row r="175" spans="1:23" ht="30" customHeight="1" x14ac:dyDescent="0.25">
      <c r="A175" s="195">
        <v>153</v>
      </c>
      <c r="B175" s="196"/>
      <c r="C175" s="195"/>
      <c r="D175" s="197"/>
      <c r="E175" s="197"/>
      <c r="F175" s="197"/>
      <c r="G175" s="197"/>
      <c r="H175" s="198"/>
      <c r="I175" s="199"/>
      <c r="J175" s="200"/>
      <c r="K175" s="201"/>
      <c r="L175" s="201"/>
      <c r="M175" s="201"/>
      <c r="N175" s="201"/>
      <c r="O175" s="201"/>
      <c r="P175" s="201"/>
      <c r="Q175" s="197"/>
      <c r="R175" s="197"/>
      <c r="S175" s="202"/>
      <c r="T175" s="197"/>
      <c r="U175" s="203"/>
      <c r="V175" s="204"/>
      <c r="W175" s="205"/>
    </row>
    <row r="176" spans="1:23" ht="30" customHeight="1" x14ac:dyDescent="0.25">
      <c r="A176" s="195">
        <v>154</v>
      </c>
      <c r="B176" s="196"/>
      <c r="C176" s="195"/>
      <c r="D176" s="197"/>
      <c r="E176" s="197"/>
      <c r="F176" s="197"/>
      <c r="G176" s="197"/>
      <c r="H176" s="198"/>
      <c r="I176" s="199"/>
      <c r="J176" s="200"/>
      <c r="K176" s="201"/>
      <c r="L176" s="201"/>
      <c r="M176" s="201"/>
      <c r="N176" s="201"/>
      <c r="O176" s="201"/>
      <c r="P176" s="201"/>
      <c r="Q176" s="197"/>
      <c r="R176" s="197"/>
      <c r="S176" s="202"/>
      <c r="T176" s="197"/>
      <c r="U176" s="203"/>
      <c r="V176" s="204"/>
      <c r="W176" s="205"/>
    </row>
    <row r="177" spans="1:23" ht="30" customHeight="1" x14ac:dyDescent="0.25">
      <c r="A177" s="195">
        <v>155</v>
      </c>
      <c r="B177" s="196"/>
      <c r="C177" s="195"/>
      <c r="D177" s="197"/>
      <c r="E177" s="197"/>
      <c r="F177" s="197"/>
      <c r="G177" s="197"/>
      <c r="H177" s="198"/>
      <c r="I177" s="199"/>
      <c r="J177" s="200"/>
      <c r="K177" s="201"/>
      <c r="L177" s="201"/>
      <c r="M177" s="201"/>
      <c r="N177" s="201"/>
      <c r="O177" s="201"/>
      <c r="P177" s="201"/>
      <c r="Q177" s="197"/>
      <c r="R177" s="197"/>
      <c r="S177" s="202"/>
      <c r="T177" s="197"/>
      <c r="U177" s="203"/>
      <c r="V177" s="204"/>
      <c r="W177" s="205"/>
    </row>
    <row r="178" spans="1:23" ht="30" customHeight="1" x14ac:dyDescent="0.25">
      <c r="A178" s="195">
        <v>156</v>
      </c>
      <c r="B178" s="196"/>
      <c r="C178" s="195"/>
      <c r="D178" s="197"/>
      <c r="E178" s="197"/>
      <c r="F178" s="197"/>
      <c r="G178" s="197"/>
      <c r="H178" s="198"/>
      <c r="I178" s="199"/>
      <c r="J178" s="200"/>
      <c r="K178" s="201"/>
      <c r="L178" s="201"/>
      <c r="M178" s="201"/>
      <c r="N178" s="201"/>
      <c r="O178" s="201"/>
      <c r="P178" s="201"/>
      <c r="Q178" s="197"/>
      <c r="R178" s="197"/>
      <c r="S178" s="202"/>
      <c r="T178" s="197"/>
      <c r="U178" s="203"/>
      <c r="V178" s="204"/>
      <c r="W178" s="205"/>
    </row>
    <row r="179" spans="1:23" ht="30" customHeight="1" x14ac:dyDescent="0.25">
      <c r="A179" s="195">
        <v>157</v>
      </c>
      <c r="B179" s="196"/>
      <c r="C179" s="195"/>
      <c r="D179" s="197"/>
      <c r="E179" s="197"/>
      <c r="F179" s="197"/>
      <c r="G179" s="197"/>
      <c r="H179" s="198"/>
      <c r="I179" s="199"/>
      <c r="J179" s="200"/>
      <c r="K179" s="201"/>
      <c r="L179" s="201"/>
      <c r="M179" s="201"/>
      <c r="N179" s="201"/>
      <c r="O179" s="201"/>
      <c r="P179" s="201"/>
      <c r="Q179" s="197"/>
      <c r="R179" s="197"/>
      <c r="S179" s="202"/>
      <c r="T179" s="197"/>
      <c r="U179" s="203"/>
      <c r="V179" s="204"/>
      <c r="W179" s="205"/>
    </row>
    <row r="180" spans="1:23" ht="30" customHeight="1" x14ac:dyDescent="0.25">
      <c r="A180" s="195">
        <v>158</v>
      </c>
      <c r="B180" s="196"/>
      <c r="C180" s="195"/>
      <c r="D180" s="197"/>
      <c r="E180" s="197"/>
      <c r="F180" s="197"/>
      <c r="G180" s="197"/>
      <c r="H180" s="198"/>
      <c r="I180" s="199"/>
      <c r="J180" s="200"/>
      <c r="K180" s="201"/>
      <c r="L180" s="201"/>
      <c r="M180" s="201"/>
      <c r="N180" s="201"/>
      <c r="O180" s="201"/>
      <c r="P180" s="201"/>
      <c r="Q180" s="197"/>
      <c r="R180" s="197"/>
      <c r="S180" s="202"/>
      <c r="T180" s="197"/>
      <c r="U180" s="203"/>
      <c r="V180" s="204"/>
      <c r="W180" s="205"/>
    </row>
    <row r="181" spans="1:23" ht="30" customHeight="1" x14ac:dyDescent="0.25">
      <c r="A181" s="195">
        <v>159</v>
      </c>
      <c r="B181" s="196"/>
      <c r="C181" s="195"/>
      <c r="D181" s="197"/>
      <c r="E181" s="197"/>
      <c r="F181" s="197"/>
      <c r="G181" s="197"/>
      <c r="H181" s="198"/>
      <c r="I181" s="199"/>
      <c r="J181" s="200"/>
      <c r="K181" s="201"/>
      <c r="L181" s="201"/>
      <c r="M181" s="201"/>
      <c r="N181" s="201"/>
      <c r="O181" s="201"/>
      <c r="P181" s="201"/>
      <c r="Q181" s="197"/>
      <c r="R181" s="197"/>
      <c r="S181" s="202"/>
      <c r="T181" s="197"/>
      <c r="U181" s="203"/>
      <c r="V181" s="204"/>
      <c r="W181" s="205"/>
    </row>
    <row r="182" spans="1:23" ht="30" customHeight="1" x14ac:dyDescent="0.25">
      <c r="A182" s="195">
        <v>160</v>
      </c>
      <c r="B182" s="196"/>
      <c r="C182" s="195"/>
      <c r="D182" s="197"/>
      <c r="E182" s="197"/>
      <c r="F182" s="197"/>
      <c r="G182" s="197"/>
      <c r="H182" s="198"/>
      <c r="I182" s="199"/>
      <c r="J182" s="200"/>
      <c r="K182" s="201"/>
      <c r="L182" s="201"/>
      <c r="M182" s="201"/>
      <c r="N182" s="201"/>
      <c r="O182" s="201"/>
      <c r="P182" s="201"/>
      <c r="Q182" s="197"/>
      <c r="R182" s="197"/>
      <c r="S182" s="202"/>
      <c r="T182" s="197"/>
      <c r="U182" s="203"/>
      <c r="V182" s="204"/>
      <c r="W182" s="205"/>
    </row>
    <row r="183" spans="1:23" ht="30" customHeight="1" x14ac:dyDescent="0.25">
      <c r="A183" s="195">
        <v>161</v>
      </c>
      <c r="B183" s="196"/>
      <c r="C183" s="195"/>
      <c r="D183" s="197"/>
      <c r="E183" s="197"/>
      <c r="F183" s="197"/>
      <c r="G183" s="197"/>
      <c r="H183" s="198"/>
      <c r="I183" s="199"/>
      <c r="J183" s="200"/>
      <c r="K183" s="201"/>
      <c r="L183" s="201"/>
      <c r="M183" s="201"/>
      <c r="N183" s="201"/>
      <c r="O183" s="201"/>
      <c r="P183" s="201"/>
      <c r="Q183" s="197"/>
      <c r="R183" s="197"/>
      <c r="S183" s="202"/>
      <c r="T183" s="197"/>
      <c r="U183" s="203"/>
      <c r="V183" s="204"/>
      <c r="W183" s="205"/>
    </row>
    <row r="184" spans="1:23" ht="30" customHeight="1" x14ac:dyDescent="0.25">
      <c r="A184" s="195">
        <v>162</v>
      </c>
      <c r="B184" s="196"/>
      <c r="C184" s="195"/>
      <c r="D184" s="197"/>
      <c r="E184" s="197"/>
      <c r="F184" s="197"/>
      <c r="G184" s="197"/>
      <c r="H184" s="198"/>
      <c r="I184" s="199"/>
      <c r="J184" s="200"/>
      <c r="K184" s="201"/>
      <c r="L184" s="201"/>
      <c r="M184" s="201"/>
      <c r="N184" s="201"/>
      <c r="O184" s="201"/>
      <c r="P184" s="201"/>
      <c r="Q184" s="197"/>
      <c r="R184" s="197"/>
      <c r="S184" s="202"/>
      <c r="T184" s="197"/>
      <c r="U184" s="203"/>
      <c r="V184" s="204"/>
      <c r="W184" s="205"/>
    </row>
    <row r="185" spans="1:23" ht="30" customHeight="1" x14ac:dyDescent="0.25">
      <c r="A185" s="195">
        <v>163</v>
      </c>
      <c r="B185" s="196"/>
      <c r="C185" s="195"/>
      <c r="D185" s="197"/>
      <c r="E185" s="197"/>
      <c r="F185" s="197"/>
      <c r="G185" s="197"/>
      <c r="H185" s="198"/>
      <c r="I185" s="199"/>
      <c r="J185" s="200"/>
      <c r="K185" s="201"/>
      <c r="L185" s="201"/>
      <c r="M185" s="201"/>
      <c r="N185" s="201"/>
      <c r="O185" s="201"/>
      <c r="P185" s="201"/>
      <c r="Q185" s="197"/>
      <c r="R185" s="197"/>
      <c r="S185" s="202"/>
      <c r="T185" s="197"/>
      <c r="U185" s="203"/>
      <c r="V185" s="204"/>
      <c r="W185" s="205"/>
    </row>
    <row r="186" spans="1:23" ht="30" customHeight="1" x14ac:dyDescent="0.25">
      <c r="A186" s="195">
        <v>164</v>
      </c>
      <c r="B186" s="196"/>
      <c r="C186" s="195"/>
      <c r="D186" s="197"/>
      <c r="E186" s="197"/>
      <c r="F186" s="197"/>
      <c r="G186" s="197"/>
      <c r="H186" s="198"/>
      <c r="I186" s="199"/>
      <c r="J186" s="200"/>
      <c r="K186" s="201"/>
      <c r="L186" s="201"/>
      <c r="M186" s="201"/>
      <c r="N186" s="201"/>
      <c r="O186" s="201"/>
      <c r="P186" s="201"/>
      <c r="Q186" s="197"/>
      <c r="R186" s="197"/>
      <c r="S186" s="202"/>
      <c r="T186" s="197"/>
      <c r="U186" s="203"/>
      <c r="V186" s="204"/>
      <c r="W186" s="205"/>
    </row>
    <row r="187" spans="1:23" ht="30" customHeight="1" x14ac:dyDescent="0.25">
      <c r="A187" s="195">
        <v>165</v>
      </c>
      <c r="B187" s="196"/>
      <c r="C187" s="195"/>
      <c r="D187" s="197"/>
      <c r="E187" s="197"/>
      <c r="F187" s="197"/>
      <c r="G187" s="197"/>
      <c r="H187" s="198"/>
      <c r="I187" s="199"/>
      <c r="J187" s="200"/>
      <c r="K187" s="201"/>
      <c r="L187" s="201"/>
      <c r="M187" s="201"/>
      <c r="N187" s="201"/>
      <c r="O187" s="201"/>
      <c r="P187" s="201"/>
      <c r="Q187" s="197"/>
      <c r="R187" s="197"/>
      <c r="S187" s="202"/>
      <c r="T187" s="197"/>
      <c r="U187" s="203"/>
      <c r="V187" s="204"/>
      <c r="W187" s="205"/>
    </row>
    <row r="188" spans="1:23" ht="30" customHeight="1" x14ac:dyDescent="0.25">
      <c r="A188" s="195">
        <v>166</v>
      </c>
      <c r="B188" s="196"/>
      <c r="C188" s="195"/>
      <c r="D188" s="197"/>
      <c r="E188" s="197"/>
      <c r="F188" s="197"/>
      <c r="G188" s="197"/>
      <c r="H188" s="198"/>
      <c r="I188" s="199"/>
      <c r="J188" s="200"/>
      <c r="K188" s="201"/>
      <c r="L188" s="201"/>
      <c r="M188" s="201"/>
      <c r="N188" s="201"/>
      <c r="O188" s="201"/>
      <c r="P188" s="201"/>
      <c r="Q188" s="197"/>
      <c r="R188" s="197"/>
      <c r="S188" s="202"/>
      <c r="T188" s="197"/>
      <c r="U188" s="203"/>
      <c r="V188" s="204"/>
      <c r="W188" s="205"/>
    </row>
    <row r="189" spans="1:23" ht="30" customHeight="1" x14ac:dyDescent="0.25">
      <c r="A189" s="195">
        <v>167</v>
      </c>
      <c r="B189" s="196"/>
      <c r="C189" s="195"/>
      <c r="D189" s="197"/>
      <c r="E189" s="197"/>
      <c r="F189" s="197"/>
      <c r="G189" s="197"/>
      <c r="H189" s="198"/>
      <c r="I189" s="199"/>
      <c r="J189" s="200"/>
      <c r="K189" s="201"/>
      <c r="L189" s="201"/>
      <c r="M189" s="201"/>
      <c r="N189" s="201"/>
      <c r="O189" s="201"/>
      <c r="P189" s="201"/>
      <c r="Q189" s="197"/>
      <c r="R189" s="197"/>
      <c r="S189" s="202"/>
      <c r="T189" s="197"/>
      <c r="U189" s="203"/>
      <c r="V189" s="204"/>
      <c r="W189" s="205"/>
    </row>
    <row r="190" spans="1:23" ht="30" customHeight="1" x14ac:dyDescent="0.25">
      <c r="A190" s="195">
        <v>168</v>
      </c>
      <c r="B190" s="196"/>
      <c r="C190" s="195"/>
      <c r="D190" s="197"/>
      <c r="E190" s="197"/>
      <c r="F190" s="197"/>
      <c r="G190" s="197"/>
      <c r="H190" s="198"/>
      <c r="I190" s="199"/>
      <c r="J190" s="200"/>
      <c r="K190" s="201"/>
      <c r="L190" s="201"/>
      <c r="M190" s="201"/>
      <c r="N190" s="201"/>
      <c r="O190" s="201"/>
      <c r="P190" s="201"/>
      <c r="Q190" s="197"/>
      <c r="R190" s="197"/>
      <c r="S190" s="202"/>
      <c r="T190" s="197"/>
      <c r="U190" s="203"/>
      <c r="V190" s="204"/>
      <c r="W190" s="205"/>
    </row>
    <row r="191" spans="1:23" ht="30" customHeight="1" x14ac:dyDescent="0.25">
      <c r="A191" s="195">
        <v>169</v>
      </c>
      <c r="B191" s="196"/>
      <c r="C191" s="195"/>
      <c r="D191" s="197"/>
      <c r="E191" s="197"/>
      <c r="F191" s="197"/>
      <c r="G191" s="197"/>
      <c r="H191" s="198"/>
      <c r="I191" s="199"/>
      <c r="J191" s="200"/>
      <c r="K191" s="201"/>
      <c r="L191" s="201"/>
      <c r="M191" s="201"/>
      <c r="N191" s="201"/>
      <c r="O191" s="201"/>
      <c r="P191" s="201"/>
      <c r="Q191" s="197"/>
      <c r="R191" s="197"/>
      <c r="S191" s="202"/>
      <c r="T191" s="197"/>
      <c r="U191" s="203"/>
      <c r="V191" s="204"/>
      <c r="W191" s="205"/>
    </row>
    <row r="192" spans="1:23" ht="30" customHeight="1" x14ac:dyDescent="0.25">
      <c r="A192" s="195">
        <v>170</v>
      </c>
      <c r="B192" s="196"/>
      <c r="C192" s="195"/>
      <c r="D192" s="197"/>
      <c r="E192" s="197"/>
      <c r="F192" s="197"/>
      <c r="G192" s="197"/>
      <c r="H192" s="198"/>
      <c r="I192" s="199"/>
      <c r="J192" s="200"/>
      <c r="K192" s="201"/>
      <c r="L192" s="201"/>
      <c r="M192" s="201"/>
      <c r="N192" s="201"/>
      <c r="O192" s="201"/>
      <c r="P192" s="201"/>
      <c r="Q192" s="197"/>
      <c r="R192" s="197"/>
      <c r="S192" s="202"/>
      <c r="T192" s="197"/>
      <c r="U192" s="203"/>
      <c r="V192" s="204"/>
      <c r="W192" s="205"/>
    </row>
    <row r="193" spans="1:23" ht="30" customHeight="1" x14ac:dyDescent="0.25">
      <c r="A193" s="195">
        <v>171</v>
      </c>
      <c r="B193" s="196"/>
      <c r="C193" s="195"/>
      <c r="D193" s="197"/>
      <c r="E193" s="197"/>
      <c r="F193" s="197"/>
      <c r="G193" s="197"/>
      <c r="H193" s="198"/>
      <c r="I193" s="199"/>
      <c r="J193" s="200"/>
      <c r="K193" s="201"/>
      <c r="L193" s="201"/>
      <c r="M193" s="201"/>
      <c r="N193" s="201"/>
      <c r="O193" s="201"/>
      <c r="P193" s="201"/>
      <c r="Q193" s="197"/>
      <c r="R193" s="197"/>
      <c r="S193" s="202"/>
      <c r="T193" s="197"/>
      <c r="U193" s="203"/>
      <c r="V193" s="204"/>
      <c r="W193" s="205"/>
    </row>
    <row r="194" spans="1:23" ht="30" customHeight="1" x14ac:dyDescent="0.25">
      <c r="A194" s="195">
        <v>172</v>
      </c>
      <c r="B194" s="196"/>
      <c r="C194" s="195"/>
      <c r="D194" s="197"/>
      <c r="E194" s="197"/>
      <c r="F194" s="197"/>
      <c r="G194" s="197"/>
      <c r="H194" s="198"/>
      <c r="I194" s="199"/>
      <c r="J194" s="200"/>
      <c r="K194" s="201"/>
      <c r="L194" s="201"/>
      <c r="M194" s="201"/>
      <c r="N194" s="201"/>
      <c r="O194" s="201"/>
      <c r="P194" s="201"/>
      <c r="Q194" s="197"/>
      <c r="R194" s="197"/>
      <c r="S194" s="202"/>
      <c r="T194" s="197"/>
      <c r="U194" s="203"/>
      <c r="V194" s="204"/>
      <c r="W194" s="205"/>
    </row>
    <row r="195" spans="1:23" ht="30" customHeight="1" x14ac:dyDescent="0.25">
      <c r="A195" s="195">
        <v>173</v>
      </c>
      <c r="B195" s="196"/>
      <c r="C195" s="195"/>
      <c r="D195" s="197"/>
      <c r="E195" s="197"/>
      <c r="F195" s="197"/>
      <c r="G195" s="197"/>
      <c r="H195" s="198"/>
      <c r="I195" s="199"/>
      <c r="J195" s="200"/>
      <c r="K195" s="201"/>
      <c r="L195" s="201"/>
      <c r="M195" s="201"/>
      <c r="N195" s="201"/>
      <c r="O195" s="201"/>
      <c r="P195" s="201"/>
      <c r="Q195" s="197"/>
      <c r="R195" s="197"/>
      <c r="S195" s="202"/>
      <c r="T195" s="197"/>
      <c r="U195" s="203"/>
      <c r="V195" s="204"/>
      <c r="W195" s="205"/>
    </row>
    <row r="196" spans="1:23" ht="30" customHeight="1" x14ac:dyDescent="0.25">
      <c r="A196" s="195">
        <v>174</v>
      </c>
      <c r="B196" s="196"/>
      <c r="C196" s="195"/>
      <c r="D196" s="197"/>
      <c r="E196" s="197"/>
      <c r="F196" s="197"/>
      <c r="G196" s="197"/>
      <c r="H196" s="198"/>
      <c r="I196" s="199"/>
      <c r="J196" s="200"/>
      <c r="K196" s="201"/>
      <c r="L196" s="201"/>
      <c r="M196" s="201"/>
      <c r="N196" s="201"/>
      <c r="O196" s="201"/>
      <c r="P196" s="201"/>
      <c r="Q196" s="197"/>
      <c r="R196" s="197"/>
      <c r="S196" s="202"/>
      <c r="T196" s="197"/>
      <c r="U196" s="203"/>
      <c r="V196" s="204"/>
      <c r="W196" s="205"/>
    </row>
    <row r="197" spans="1:23" ht="30" customHeight="1" x14ac:dyDescent="0.25">
      <c r="A197" s="195">
        <v>175</v>
      </c>
      <c r="B197" s="196"/>
      <c r="C197" s="195"/>
      <c r="D197" s="197"/>
      <c r="E197" s="197"/>
      <c r="F197" s="197"/>
      <c r="G197" s="197"/>
      <c r="H197" s="198"/>
      <c r="I197" s="199"/>
      <c r="J197" s="200"/>
      <c r="K197" s="201"/>
      <c r="L197" s="201"/>
      <c r="M197" s="201"/>
      <c r="N197" s="201"/>
      <c r="O197" s="201"/>
      <c r="P197" s="201"/>
      <c r="Q197" s="197"/>
      <c r="R197" s="197"/>
      <c r="S197" s="202"/>
      <c r="T197" s="197"/>
      <c r="U197" s="203"/>
      <c r="V197" s="204"/>
      <c r="W197" s="205"/>
    </row>
    <row r="198" spans="1:23" ht="30" customHeight="1" x14ac:dyDescent="0.25">
      <c r="A198" s="195">
        <v>176</v>
      </c>
      <c r="B198" s="196"/>
      <c r="C198" s="195"/>
      <c r="D198" s="197"/>
      <c r="E198" s="197"/>
      <c r="F198" s="197"/>
      <c r="G198" s="197"/>
      <c r="H198" s="198"/>
      <c r="I198" s="199"/>
      <c r="J198" s="200"/>
      <c r="K198" s="201"/>
      <c r="L198" s="201"/>
      <c r="M198" s="201"/>
      <c r="N198" s="201"/>
      <c r="O198" s="201"/>
      <c r="P198" s="201"/>
      <c r="Q198" s="197"/>
      <c r="R198" s="197"/>
      <c r="S198" s="202"/>
      <c r="T198" s="197"/>
      <c r="U198" s="203"/>
      <c r="V198" s="204"/>
      <c r="W198" s="205"/>
    </row>
    <row r="199" spans="1:23" ht="30" customHeight="1" x14ac:dyDescent="0.25">
      <c r="A199" s="195">
        <v>177</v>
      </c>
      <c r="B199" s="196"/>
      <c r="C199" s="195"/>
      <c r="D199" s="197"/>
      <c r="E199" s="197"/>
      <c r="F199" s="197"/>
      <c r="G199" s="197"/>
      <c r="H199" s="198"/>
      <c r="I199" s="199"/>
      <c r="J199" s="200"/>
      <c r="K199" s="201"/>
      <c r="L199" s="201"/>
      <c r="M199" s="201"/>
      <c r="N199" s="201"/>
      <c r="O199" s="201"/>
      <c r="P199" s="201"/>
      <c r="Q199" s="197"/>
      <c r="R199" s="197"/>
      <c r="S199" s="202"/>
      <c r="T199" s="197"/>
      <c r="U199" s="203"/>
      <c r="V199" s="204"/>
      <c r="W199" s="205"/>
    </row>
    <row r="200" spans="1:23" ht="30" customHeight="1" x14ac:dyDescent="0.25">
      <c r="A200" s="195">
        <v>178</v>
      </c>
      <c r="B200" s="196"/>
      <c r="C200" s="195"/>
      <c r="D200" s="197"/>
      <c r="E200" s="197"/>
      <c r="F200" s="197"/>
      <c r="G200" s="197"/>
      <c r="H200" s="198"/>
      <c r="I200" s="199"/>
      <c r="J200" s="200"/>
      <c r="K200" s="201"/>
      <c r="L200" s="201"/>
      <c r="M200" s="201"/>
      <c r="N200" s="201"/>
      <c r="O200" s="201"/>
      <c r="P200" s="201"/>
      <c r="Q200" s="197"/>
      <c r="R200" s="197"/>
      <c r="S200" s="202"/>
      <c r="T200" s="197"/>
      <c r="U200" s="203"/>
      <c r="V200" s="204"/>
      <c r="W200" s="205"/>
    </row>
    <row r="201" spans="1:23" ht="30" customHeight="1" x14ac:dyDescent="0.25">
      <c r="A201" s="195">
        <v>179</v>
      </c>
      <c r="B201" s="196"/>
      <c r="C201" s="195"/>
      <c r="D201" s="197"/>
      <c r="E201" s="197"/>
      <c r="F201" s="197"/>
      <c r="G201" s="197"/>
      <c r="H201" s="198"/>
      <c r="I201" s="199"/>
      <c r="J201" s="200"/>
      <c r="K201" s="201"/>
      <c r="L201" s="201"/>
      <c r="M201" s="201"/>
      <c r="N201" s="201"/>
      <c r="O201" s="201"/>
      <c r="P201" s="201"/>
      <c r="Q201" s="197"/>
      <c r="R201" s="197"/>
      <c r="S201" s="202"/>
      <c r="T201" s="197"/>
      <c r="U201" s="203"/>
      <c r="V201" s="204"/>
      <c r="W201" s="205"/>
    </row>
    <row r="202" spans="1:23" ht="30" customHeight="1" x14ac:dyDescent="0.25">
      <c r="A202" s="195">
        <v>180</v>
      </c>
      <c r="B202" s="196"/>
      <c r="C202" s="195"/>
      <c r="D202" s="197"/>
      <c r="E202" s="197"/>
      <c r="F202" s="197"/>
      <c r="G202" s="197"/>
      <c r="H202" s="198"/>
      <c r="I202" s="199"/>
      <c r="J202" s="200"/>
      <c r="K202" s="201"/>
      <c r="L202" s="201"/>
      <c r="M202" s="201"/>
      <c r="N202" s="201"/>
      <c r="O202" s="201"/>
      <c r="P202" s="201"/>
      <c r="Q202" s="197"/>
      <c r="R202" s="197"/>
      <c r="S202" s="202"/>
      <c r="T202" s="197"/>
      <c r="U202" s="203"/>
      <c r="V202" s="204"/>
      <c r="W202" s="205"/>
    </row>
    <row r="203" spans="1:23" ht="30" customHeight="1" x14ac:dyDescent="0.25">
      <c r="A203" s="195">
        <v>181</v>
      </c>
      <c r="B203" s="196"/>
      <c r="C203" s="195"/>
      <c r="D203" s="197"/>
      <c r="E203" s="197"/>
      <c r="F203" s="197"/>
      <c r="G203" s="197"/>
      <c r="H203" s="198"/>
      <c r="I203" s="199"/>
      <c r="J203" s="200"/>
      <c r="K203" s="201"/>
      <c r="L203" s="201"/>
      <c r="M203" s="201"/>
      <c r="N203" s="201"/>
      <c r="O203" s="201"/>
      <c r="P203" s="201"/>
      <c r="Q203" s="197"/>
      <c r="R203" s="197"/>
      <c r="S203" s="202"/>
      <c r="T203" s="197"/>
      <c r="U203" s="203"/>
      <c r="V203" s="204"/>
      <c r="W203" s="205"/>
    </row>
    <row r="204" spans="1:23" ht="30" customHeight="1" x14ac:dyDescent="0.25">
      <c r="A204" s="195">
        <v>182</v>
      </c>
      <c r="B204" s="196"/>
      <c r="C204" s="195"/>
      <c r="D204" s="197"/>
      <c r="E204" s="197"/>
      <c r="F204" s="197"/>
      <c r="G204" s="197"/>
      <c r="H204" s="198"/>
      <c r="I204" s="199"/>
      <c r="J204" s="200"/>
      <c r="K204" s="201"/>
      <c r="L204" s="201"/>
      <c r="M204" s="201"/>
      <c r="N204" s="201"/>
      <c r="O204" s="201"/>
      <c r="P204" s="201"/>
      <c r="Q204" s="197"/>
      <c r="R204" s="197"/>
      <c r="S204" s="202"/>
      <c r="T204" s="197"/>
      <c r="U204" s="203"/>
      <c r="V204" s="204"/>
      <c r="W204" s="205"/>
    </row>
    <row r="205" spans="1:23" ht="30" customHeight="1" x14ac:dyDescent="0.25">
      <c r="A205" s="195">
        <v>183</v>
      </c>
      <c r="B205" s="196"/>
      <c r="C205" s="195"/>
      <c r="D205" s="197"/>
      <c r="E205" s="197"/>
      <c r="F205" s="197"/>
      <c r="G205" s="197"/>
      <c r="H205" s="198"/>
      <c r="I205" s="199"/>
      <c r="J205" s="200"/>
      <c r="K205" s="201"/>
      <c r="L205" s="201"/>
      <c r="M205" s="201"/>
      <c r="N205" s="201"/>
      <c r="O205" s="201"/>
      <c r="P205" s="201"/>
      <c r="Q205" s="197"/>
      <c r="R205" s="197"/>
      <c r="S205" s="202"/>
      <c r="T205" s="197"/>
      <c r="U205" s="203"/>
      <c r="V205" s="204"/>
      <c r="W205" s="205"/>
    </row>
    <row r="206" spans="1:23" ht="30" customHeight="1" x14ac:dyDescent="0.25">
      <c r="A206" s="195">
        <v>184</v>
      </c>
      <c r="B206" s="196"/>
      <c r="C206" s="195"/>
      <c r="D206" s="197"/>
      <c r="E206" s="197"/>
      <c r="F206" s="197"/>
      <c r="G206" s="197"/>
      <c r="H206" s="198"/>
      <c r="I206" s="199"/>
      <c r="J206" s="200"/>
      <c r="K206" s="201"/>
      <c r="L206" s="201"/>
      <c r="M206" s="201"/>
      <c r="N206" s="201"/>
      <c r="O206" s="201"/>
      <c r="P206" s="201"/>
      <c r="Q206" s="197"/>
      <c r="R206" s="197"/>
      <c r="S206" s="202"/>
      <c r="T206" s="197"/>
      <c r="U206" s="203"/>
      <c r="V206" s="204"/>
      <c r="W206" s="205"/>
    </row>
    <row r="207" spans="1:23" ht="30" customHeight="1" x14ac:dyDescent="0.25">
      <c r="A207" s="195">
        <v>185</v>
      </c>
      <c r="B207" s="196"/>
      <c r="C207" s="195"/>
      <c r="D207" s="197"/>
      <c r="E207" s="197"/>
      <c r="F207" s="197"/>
      <c r="G207" s="197"/>
      <c r="H207" s="198"/>
      <c r="I207" s="199"/>
      <c r="J207" s="200"/>
      <c r="K207" s="201"/>
      <c r="L207" s="201"/>
      <c r="M207" s="201"/>
      <c r="N207" s="201"/>
      <c r="O207" s="201"/>
      <c r="P207" s="201"/>
      <c r="Q207" s="197"/>
      <c r="R207" s="197"/>
      <c r="S207" s="202"/>
      <c r="T207" s="197"/>
      <c r="U207" s="203"/>
      <c r="V207" s="204"/>
      <c r="W207" s="205"/>
    </row>
    <row r="208" spans="1:23" ht="30" customHeight="1" x14ac:dyDescent="0.25">
      <c r="A208" s="195">
        <v>186</v>
      </c>
      <c r="B208" s="196"/>
      <c r="C208" s="195"/>
      <c r="D208" s="197"/>
      <c r="E208" s="197"/>
      <c r="F208" s="197"/>
      <c r="G208" s="197"/>
      <c r="H208" s="198"/>
      <c r="I208" s="199"/>
      <c r="J208" s="200"/>
      <c r="K208" s="201"/>
      <c r="L208" s="201"/>
      <c r="M208" s="201"/>
      <c r="N208" s="201"/>
      <c r="O208" s="201"/>
      <c r="P208" s="201"/>
      <c r="Q208" s="197"/>
      <c r="R208" s="197"/>
      <c r="S208" s="202"/>
      <c r="T208" s="197"/>
      <c r="U208" s="203"/>
      <c r="V208" s="204"/>
      <c r="W208" s="205"/>
    </row>
    <row r="209" spans="1:23" ht="30" customHeight="1" x14ac:dyDescent="0.25">
      <c r="A209" s="195">
        <v>187</v>
      </c>
      <c r="B209" s="196"/>
      <c r="C209" s="195"/>
      <c r="D209" s="197"/>
      <c r="E209" s="197"/>
      <c r="F209" s="197"/>
      <c r="G209" s="197"/>
      <c r="H209" s="198"/>
      <c r="I209" s="199"/>
      <c r="J209" s="200"/>
      <c r="K209" s="201"/>
      <c r="L209" s="201"/>
      <c r="M209" s="201"/>
      <c r="N209" s="201"/>
      <c r="O209" s="201"/>
      <c r="P209" s="201"/>
      <c r="Q209" s="197"/>
      <c r="R209" s="197"/>
      <c r="S209" s="202"/>
      <c r="T209" s="197"/>
      <c r="U209" s="203"/>
      <c r="V209" s="204"/>
      <c r="W209" s="205"/>
    </row>
    <row r="210" spans="1:23" ht="30" customHeight="1" x14ac:dyDescent="0.25">
      <c r="A210" s="195">
        <v>188</v>
      </c>
      <c r="B210" s="196"/>
      <c r="C210" s="195"/>
      <c r="D210" s="197"/>
      <c r="E210" s="197"/>
      <c r="F210" s="197"/>
      <c r="G210" s="197"/>
      <c r="H210" s="198"/>
      <c r="I210" s="199"/>
      <c r="J210" s="200"/>
      <c r="K210" s="201"/>
      <c r="L210" s="201"/>
      <c r="M210" s="201"/>
      <c r="N210" s="201"/>
      <c r="O210" s="201"/>
      <c r="P210" s="201"/>
      <c r="Q210" s="197"/>
      <c r="R210" s="197"/>
      <c r="S210" s="202"/>
      <c r="T210" s="197"/>
      <c r="U210" s="203"/>
      <c r="V210" s="204"/>
      <c r="W210" s="205"/>
    </row>
    <row r="211" spans="1:23" ht="30" customHeight="1" x14ac:dyDescent="0.25">
      <c r="A211" s="195">
        <v>189</v>
      </c>
      <c r="B211" s="196"/>
      <c r="C211" s="195"/>
      <c r="D211" s="197"/>
      <c r="E211" s="197"/>
      <c r="F211" s="197"/>
      <c r="G211" s="197"/>
      <c r="H211" s="198"/>
      <c r="I211" s="199"/>
      <c r="J211" s="200"/>
      <c r="K211" s="201"/>
      <c r="L211" s="201"/>
      <c r="M211" s="201"/>
      <c r="N211" s="201"/>
      <c r="O211" s="201"/>
      <c r="P211" s="201"/>
      <c r="Q211" s="197"/>
      <c r="R211" s="197"/>
      <c r="S211" s="202"/>
      <c r="T211" s="197"/>
      <c r="U211" s="203"/>
      <c r="V211" s="204"/>
      <c r="W211" s="205"/>
    </row>
    <row r="212" spans="1:23" ht="30" customHeight="1" x14ac:dyDescent="0.25">
      <c r="A212" s="195">
        <v>190</v>
      </c>
      <c r="B212" s="196"/>
      <c r="C212" s="195"/>
      <c r="D212" s="197"/>
      <c r="E212" s="197"/>
      <c r="F212" s="197"/>
      <c r="G212" s="197"/>
      <c r="H212" s="198"/>
      <c r="I212" s="199"/>
      <c r="J212" s="200"/>
      <c r="K212" s="201"/>
      <c r="L212" s="201"/>
      <c r="M212" s="201"/>
      <c r="N212" s="201"/>
      <c r="O212" s="201"/>
      <c r="P212" s="201"/>
      <c r="Q212" s="197"/>
      <c r="R212" s="197"/>
      <c r="S212" s="202"/>
      <c r="T212" s="197"/>
      <c r="U212" s="203"/>
      <c r="V212" s="204"/>
      <c r="W212" s="205"/>
    </row>
    <row r="213" spans="1:23" ht="30" customHeight="1" x14ac:dyDescent="0.25">
      <c r="A213" s="195">
        <v>191</v>
      </c>
      <c r="B213" s="196"/>
      <c r="C213" s="195"/>
      <c r="D213" s="197"/>
      <c r="E213" s="197"/>
      <c r="F213" s="197"/>
      <c r="G213" s="197"/>
      <c r="H213" s="198"/>
      <c r="I213" s="199"/>
      <c r="J213" s="200"/>
      <c r="K213" s="201"/>
      <c r="L213" s="201"/>
      <c r="M213" s="201"/>
      <c r="N213" s="201"/>
      <c r="O213" s="201"/>
      <c r="P213" s="201"/>
      <c r="Q213" s="197"/>
      <c r="R213" s="197"/>
      <c r="S213" s="202"/>
      <c r="T213" s="197"/>
      <c r="U213" s="203"/>
      <c r="V213" s="204"/>
      <c r="W213" s="205"/>
    </row>
    <row r="214" spans="1:23" ht="30" customHeight="1" x14ac:dyDescent="0.25">
      <c r="A214" s="195">
        <v>192</v>
      </c>
      <c r="B214" s="196"/>
      <c r="C214" s="195"/>
      <c r="D214" s="197"/>
      <c r="E214" s="197"/>
      <c r="F214" s="197"/>
      <c r="G214" s="197"/>
      <c r="H214" s="198"/>
      <c r="I214" s="199"/>
      <c r="J214" s="200"/>
      <c r="K214" s="201"/>
      <c r="L214" s="201"/>
      <c r="M214" s="201"/>
      <c r="N214" s="201"/>
      <c r="O214" s="201"/>
      <c r="P214" s="201"/>
      <c r="Q214" s="197"/>
      <c r="R214" s="197"/>
      <c r="S214" s="202"/>
      <c r="T214" s="197"/>
      <c r="U214" s="203"/>
      <c r="V214" s="204"/>
      <c r="W214" s="205"/>
    </row>
    <row r="215" spans="1:23" ht="30" customHeight="1" x14ac:dyDescent="0.25">
      <c r="A215" s="195">
        <v>193</v>
      </c>
      <c r="B215" s="196"/>
      <c r="C215" s="195"/>
      <c r="D215" s="197"/>
      <c r="E215" s="197"/>
      <c r="F215" s="197"/>
      <c r="G215" s="197"/>
      <c r="H215" s="198"/>
      <c r="I215" s="199"/>
      <c r="J215" s="200"/>
      <c r="K215" s="201"/>
      <c r="L215" s="201"/>
      <c r="M215" s="201"/>
      <c r="N215" s="201"/>
      <c r="O215" s="201"/>
      <c r="P215" s="201"/>
      <c r="Q215" s="197"/>
      <c r="R215" s="197"/>
      <c r="S215" s="202"/>
      <c r="T215" s="197"/>
      <c r="U215" s="203"/>
      <c r="V215" s="204"/>
      <c r="W215" s="205"/>
    </row>
    <row r="216" spans="1:23" ht="30" customHeight="1" x14ac:dyDescent="0.25">
      <c r="A216" s="195">
        <v>194</v>
      </c>
      <c r="B216" s="196"/>
      <c r="C216" s="195"/>
      <c r="D216" s="197"/>
      <c r="E216" s="197"/>
      <c r="F216" s="197"/>
      <c r="G216" s="197"/>
      <c r="H216" s="198"/>
      <c r="I216" s="199"/>
      <c r="J216" s="200"/>
      <c r="K216" s="201"/>
      <c r="L216" s="201"/>
      <c r="M216" s="201"/>
      <c r="N216" s="201"/>
      <c r="O216" s="201"/>
      <c r="P216" s="201"/>
      <c r="Q216" s="197"/>
      <c r="R216" s="197"/>
      <c r="S216" s="202"/>
      <c r="T216" s="197"/>
      <c r="U216" s="203"/>
      <c r="V216" s="204"/>
      <c r="W216" s="205"/>
    </row>
    <row r="217" spans="1:23" ht="30" customHeight="1" x14ac:dyDescent="0.25">
      <c r="A217" s="195">
        <v>195</v>
      </c>
      <c r="B217" s="196"/>
      <c r="C217" s="195"/>
      <c r="D217" s="197"/>
      <c r="E217" s="197"/>
      <c r="F217" s="197"/>
      <c r="G217" s="197"/>
      <c r="H217" s="198"/>
      <c r="I217" s="199"/>
      <c r="J217" s="200"/>
      <c r="K217" s="201"/>
      <c r="L217" s="201"/>
      <c r="M217" s="201"/>
      <c r="N217" s="201"/>
      <c r="O217" s="201"/>
      <c r="P217" s="201"/>
      <c r="Q217" s="197"/>
      <c r="R217" s="197"/>
      <c r="S217" s="202"/>
      <c r="T217" s="197"/>
      <c r="U217" s="203"/>
      <c r="V217" s="204"/>
      <c r="W217" s="205"/>
    </row>
    <row r="218" spans="1:23" ht="30" customHeight="1" x14ac:dyDescent="0.25">
      <c r="A218" s="195">
        <v>196</v>
      </c>
      <c r="B218" s="196"/>
      <c r="C218" s="195"/>
      <c r="D218" s="197"/>
      <c r="E218" s="197"/>
      <c r="F218" s="197"/>
      <c r="G218" s="197"/>
      <c r="H218" s="198"/>
      <c r="I218" s="199"/>
      <c r="J218" s="200"/>
      <c r="K218" s="201"/>
      <c r="L218" s="201"/>
      <c r="M218" s="201"/>
      <c r="N218" s="201"/>
      <c r="O218" s="201"/>
      <c r="P218" s="201"/>
      <c r="Q218" s="197"/>
      <c r="R218" s="197"/>
      <c r="S218" s="202"/>
      <c r="T218" s="197"/>
      <c r="U218" s="203"/>
      <c r="V218" s="204"/>
      <c r="W218" s="205"/>
    </row>
    <row r="219" spans="1:23" ht="30" customHeight="1" x14ac:dyDescent="0.25">
      <c r="A219" s="195">
        <v>197</v>
      </c>
      <c r="B219" s="196"/>
      <c r="C219" s="195"/>
      <c r="D219" s="197"/>
      <c r="E219" s="197"/>
      <c r="F219" s="197"/>
      <c r="G219" s="197"/>
      <c r="H219" s="198"/>
      <c r="I219" s="199"/>
      <c r="J219" s="200"/>
      <c r="K219" s="201"/>
      <c r="L219" s="201"/>
      <c r="M219" s="201"/>
      <c r="N219" s="201"/>
      <c r="O219" s="201"/>
      <c r="P219" s="201"/>
      <c r="Q219" s="197"/>
      <c r="R219" s="197"/>
      <c r="S219" s="202"/>
      <c r="T219" s="197"/>
      <c r="U219" s="203"/>
      <c r="V219" s="204"/>
      <c r="W219" s="205"/>
    </row>
    <row r="220" spans="1:23" ht="30" customHeight="1" x14ac:dyDescent="0.25">
      <c r="A220" s="195">
        <v>198</v>
      </c>
      <c r="B220" s="196"/>
      <c r="C220" s="195"/>
      <c r="D220" s="197"/>
      <c r="E220" s="197"/>
      <c r="F220" s="197"/>
      <c r="G220" s="197"/>
      <c r="H220" s="198"/>
      <c r="I220" s="199"/>
      <c r="J220" s="200"/>
      <c r="K220" s="201"/>
      <c r="L220" s="201"/>
      <c r="M220" s="201"/>
      <c r="N220" s="201"/>
      <c r="O220" s="201"/>
      <c r="P220" s="201"/>
      <c r="Q220" s="197"/>
      <c r="R220" s="197"/>
      <c r="S220" s="202"/>
      <c r="T220" s="197"/>
      <c r="U220" s="203"/>
      <c r="V220" s="204"/>
      <c r="W220" s="205"/>
    </row>
    <row r="221" spans="1:23" ht="30" customHeight="1" x14ac:dyDescent="0.25">
      <c r="A221" s="195">
        <v>199</v>
      </c>
      <c r="B221" s="196"/>
      <c r="C221" s="195"/>
      <c r="D221" s="197"/>
      <c r="E221" s="197"/>
      <c r="F221" s="197"/>
      <c r="G221" s="197"/>
      <c r="H221" s="198"/>
      <c r="I221" s="199"/>
      <c r="J221" s="200"/>
      <c r="K221" s="201"/>
      <c r="L221" s="201"/>
      <c r="M221" s="201"/>
      <c r="N221" s="201"/>
      <c r="O221" s="201"/>
      <c r="P221" s="201"/>
      <c r="Q221" s="197"/>
      <c r="R221" s="197"/>
      <c r="S221" s="202"/>
      <c r="T221" s="197"/>
      <c r="U221" s="203"/>
      <c r="V221" s="204"/>
      <c r="W221" s="205"/>
    </row>
    <row r="222" spans="1:23" ht="30" customHeight="1" x14ac:dyDescent="0.25">
      <c r="A222" s="195">
        <v>200</v>
      </c>
      <c r="B222" s="196"/>
      <c r="C222" s="195"/>
      <c r="D222" s="197"/>
      <c r="E222" s="197"/>
      <c r="F222" s="197"/>
      <c r="G222" s="197"/>
      <c r="H222" s="198"/>
      <c r="I222" s="199"/>
      <c r="J222" s="200"/>
      <c r="K222" s="201"/>
      <c r="L222" s="201"/>
      <c r="M222" s="201"/>
      <c r="N222" s="201"/>
      <c r="O222" s="201"/>
      <c r="P222" s="201"/>
      <c r="Q222" s="197"/>
      <c r="R222" s="197"/>
      <c r="S222" s="202"/>
      <c r="T222" s="197"/>
      <c r="U222" s="203"/>
      <c r="V222" s="204"/>
      <c r="W222" s="205"/>
    </row>
    <row r="223" spans="1:23" ht="15.75" x14ac:dyDescent="0.25">
      <c r="D223" s="206"/>
      <c r="E223" s="206"/>
      <c r="K223" s="207"/>
      <c r="L223" s="207"/>
      <c r="M223" s="207"/>
      <c r="N223" s="207"/>
      <c r="O223" s="207"/>
      <c r="P223" s="207"/>
      <c r="Q223" s="206"/>
      <c r="R223" s="206"/>
      <c r="S223" s="208"/>
      <c r="U223" s="209"/>
      <c r="V223" s="210"/>
      <c r="W223" s="206"/>
    </row>
    <row r="224" spans="1:23" ht="15.75" x14ac:dyDescent="0.25">
      <c r="D224" s="206"/>
      <c r="E224" s="206"/>
      <c r="K224" s="207"/>
      <c r="L224" s="207"/>
      <c r="M224" s="207"/>
      <c r="N224" s="207"/>
      <c r="O224" s="207"/>
      <c r="P224" s="207"/>
      <c r="Q224" s="206"/>
      <c r="R224" s="206"/>
      <c r="S224" s="208"/>
    </row>
    <row r="225" spans="5:19" ht="15.75" x14ac:dyDescent="0.25">
      <c r="E225" s="206"/>
      <c r="K225" s="207"/>
      <c r="L225" s="207"/>
      <c r="M225" s="207"/>
      <c r="N225" s="207"/>
      <c r="O225" s="207"/>
      <c r="P225" s="207"/>
      <c r="Q225" s="206"/>
      <c r="R225" s="206"/>
      <c r="S225" s="208"/>
    </row>
    <row r="226" spans="5:19" ht="15.75" x14ac:dyDescent="0.25">
      <c r="E226" s="206"/>
      <c r="K226" s="207"/>
      <c r="L226" s="207"/>
      <c r="M226" s="207"/>
      <c r="N226" s="207"/>
      <c r="O226" s="207"/>
      <c r="P226" s="207"/>
      <c r="Q226" s="206"/>
      <c r="R226" s="206"/>
      <c r="S226" s="208"/>
    </row>
    <row r="227" spans="5:19" ht="15.75" x14ac:dyDescent="0.25">
      <c r="E227" s="206"/>
      <c r="K227" s="207"/>
      <c r="L227" s="207"/>
      <c r="M227" s="207"/>
      <c r="N227" s="207"/>
      <c r="O227" s="207"/>
      <c r="P227" s="207"/>
      <c r="Q227" s="206"/>
      <c r="R227" s="206"/>
      <c r="S227" s="208"/>
    </row>
    <row r="228" spans="5:19" ht="15.75" x14ac:dyDescent="0.25">
      <c r="E228" s="206"/>
      <c r="K228" s="207"/>
      <c r="L228" s="207"/>
      <c r="M228" s="207"/>
      <c r="N228" s="207"/>
      <c r="O228" s="207"/>
      <c r="P228" s="207"/>
      <c r="Q228" s="206"/>
      <c r="R228" s="206"/>
      <c r="S228" s="208"/>
    </row>
    <row r="229" spans="5:19" ht="15.75" x14ac:dyDescent="0.25">
      <c r="E229" s="206"/>
      <c r="K229" s="207"/>
      <c r="L229" s="207"/>
      <c r="M229" s="207"/>
      <c r="N229" s="207"/>
      <c r="O229" s="207"/>
      <c r="P229" s="207"/>
      <c r="Q229" s="206"/>
      <c r="R229" s="206"/>
      <c r="S229" s="208"/>
    </row>
    <row r="230" spans="5:19" ht="15.75" x14ac:dyDescent="0.25">
      <c r="E230" s="206"/>
      <c r="K230" s="207"/>
      <c r="L230" s="207"/>
      <c r="M230" s="207"/>
      <c r="N230" s="207"/>
      <c r="O230" s="207"/>
      <c r="P230" s="207"/>
      <c r="Q230" s="206"/>
      <c r="R230" s="206"/>
      <c r="S230" s="208"/>
    </row>
    <row r="231" spans="5:19" ht="15.75" x14ac:dyDescent="0.25">
      <c r="E231" s="206"/>
      <c r="K231" s="207"/>
      <c r="L231" s="207"/>
      <c r="M231" s="207"/>
      <c r="N231" s="207"/>
      <c r="O231" s="207"/>
      <c r="P231" s="207"/>
      <c r="Q231" s="206"/>
      <c r="R231" s="206"/>
      <c r="S231" s="208"/>
    </row>
    <row r="232" spans="5:19" ht="15.75" x14ac:dyDescent="0.25">
      <c r="E232" s="206"/>
      <c r="K232" s="207"/>
      <c r="L232" s="207"/>
      <c r="M232" s="207"/>
      <c r="N232" s="207"/>
      <c r="O232" s="207"/>
      <c r="P232" s="207"/>
      <c r="Q232" s="206"/>
      <c r="R232" s="206"/>
      <c r="S232" s="208"/>
    </row>
    <row r="233" spans="5:19" ht="15.75" x14ac:dyDescent="0.25">
      <c r="E233" s="206"/>
      <c r="K233" s="207"/>
      <c r="L233" s="207"/>
      <c r="M233" s="207"/>
      <c r="N233" s="207"/>
      <c r="O233" s="207"/>
      <c r="P233" s="207"/>
      <c r="Q233" s="206"/>
      <c r="R233" s="206"/>
      <c r="S233" s="208"/>
    </row>
    <row r="234" spans="5:19" ht="15.75" x14ac:dyDescent="0.25">
      <c r="E234" s="206"/>
      <c r="K234" s="207"/>
      <c r="L234" s="207"/>
      <c r="M234" s="207"/>
      <c r="N234" s="207"/>
      <c r="O234" s="207"/>
      <c r="P234" s="207"/>
      <c r="Q234" s="206"/>
      <c r="R234" s="206"/>
      <c r="S234" s="208"/>
    </row>
    <row r="235" spans="5:19" ht="15.75" x14ac:dyDescent="0.25">
      <c r="E235" s="206"/>
      <c r="K235" s="207"/>
      <c r="L235" s="207"/>
      <c r="M235" s="207"/>
      <c r="N235" s="207"/>
      <c r="O235" s="207"/>
      <c r="P235" s="207"/>
      <c r="Q235" s="206"/>
      <c r="R235" s="206"/>
      <c r="S235" s="208"/>
    </row>
    <row r="236" spans="5:19" ht="15.75" x14ac:dyDescent="0.25">
      <c r="E236" s="206"/>
      <c r="K236" s="207"/>
      <c r="L236" s="207"/>
      <c r="M236" s="207"/>
      <c r="N236" s="207"/>
      <c r="O236" s="207"/>
      <c r="P236" s="207"/>
      <c r="Q236" s="206"/>
      <c r="R236" s="206"/>
      <c r="S236" s="208"/>
    </row>
    <row r="237" spans="5:19" ht="15.75" x14ac:dyDescent="0.25">
      <c r="E237" s="206"/>
      <c r="K237" s="207"/>
      <c r="L237" s="207"/>
      <c r="M237" s="207"/>
      <c r="N237" s="207"/>
      <c r="O237" s="207"/>
      <c r="P237" s="207"/>
      <c r="Q237" s="206"/>
      <c r="R237" s="206"/>
      <c r="S237" s="208"/>
    </row>
    <row r="238" spans="5:19" ht="15.75" x14ac:dyDescent="0.25">
      <c r="E238" s="206"/>
      <c r="K238" s="207"/>
      <c r="L238" s="207"/>
      <c r="M238" s="207"/>
      <c r="N238" s="207"/>
      <c r="O238" s="207"/>
      <c r="P238" s="207"/>
      <c r="Q238" s="206"/>
      <c r="R238" s="206"/>
      <c r="S238" s="208"/>
    </row>
    <row r="239" spans="5:19" ht="15.75" x14ac:dyDescent="0.25">
      <c r="E239" s="206"/>
      <c r="K239" s="207"/>
      <c r="L239" s="207"/>
      <c r="M239" s="207"/>
      <c r="N239" s="207"/>
      <c r="O239" s="207"/>
      <c r="P239" s="207"/>
      <c r="Q239" s="206"/>
      <c r="R239" s="206"/>
      <c r="S239" s="208"/>
    </row>
    <row r="240" spans="5:19" ht="15.75" x14ac:dyDescent="0.25">
      <c r="E240" s="206"/>
      <c r="K240" s="207"/>
      <c r="L240" s="207"/>
      <c r="M240" s="207"/>
      <c r="N240" s="207"/>
      <c r="O240" s="207"/>
      <c r="P240" s="207"/>
      <c r="Q240" s="206"/>
      <c r="R240" s="206"/>
      <c r="S240" s="208"/>
    </row>
    <row r="241" spans="5:19" ht="15.75" x14ac:dyDescent="0.25">
      <c r="E241" s="206"/>
      <c r="K241" s="207"/>
      <c r="L241" s="207"/>
      <c r="M241" s="207"/>
      <c r="N241" s="207"/>
      <c r="O241" s="207"/>
      <c r="P241" s="207"/>
      <c r="Q241" s="206"/>
      <c r="R241" s="206"/>
      <c r="S241" s="208"/>
    </row>
    <row r="242" spans="5:19" ht="15.75" x14ac:dyDescent="0.25">
      <c r="E242" s="206"/>
      <c r="K242" s="207"/>
      <c r="L242" s="207"/>
      <c r="M242" s="207"/>
      <c r="N242" s="207"/>
      <c r="O242" s="207"/>
      <c r="P242" s="207"/>
      <c r="Q242" s="206"/>
      <c r="R242" s="206"/>
      <c r="S242" s="208"/>
    </row>
    <row r="243" spans="5:19" ht="15.75" x14ac:dyDescent="0.25">
      <c r="E243" s="206"/>
      <c r="K243" s="207"/>
      <c r="L243" s="207"/>
      <c r="M243" s="207"/>
      <c r="N243" s="207"/>
      <c r="O243" s="207"/>
      <c r="P243" s="207"/>
      <c r="Q243" s="206"/>
      <c r="R243" s="206"/>
      <c r="S243" s="208"/>
    </row>
    <row r="244" spans="5:19" ht="15.75" x14ac:dyDescent="0.25">
      <c r="E244" s="206"/>
      <c r="K244" s="207"/>
      <c r="L244" s="207"/>
      <c r="M244" s="207"/>
      <c r="N244" s="207"/>
      <c r="O244" s="207"/>
      <c r="P244" s="207"/>
      <c r="Q244" s="206"/>
      <c r="R244" s="206"/>
      <c r="S244" s="208"/>
    </row>
    <row r="245" spans="5:19" ht="15.75" x14ac:dyDescent="0.25">
      <c r="E245" s="206"/>
      <c r="K245" s="207"/>
      <c r="L245" s="207"/>
      <c r="M245" s="207"/>
      <c r="N245" s="207"/>
      <c r="O245" s="207"/>
      <c r="P245" s="207"/>
      <c r="Q245" s="206"/>
      <c r="R245" s="206"/>
      <c r="S245" s="208"/>
    </row>
    <row r="246" spans="5:19" ht="15.75" x14ac:dyDescent="0.25">
      <c r="E246" s="206"/>
      <c r="K246" s="207"/>
      <c r="L246" s="207"/>
      <c r="M246" s="207"/>
      <c r="N246" s="207"/>
      <c r="O246" s="207"/>
      <c r="P246" s="207"/>
      <c r="Q246" s="206"/>
      <c r="R246" s="206"/>
      <c r="S246" s="208"/>
    </row>
    <row r="247" spans="5:19" ht="15.75" x14ac:dyDescent="0.25">
      <c r="E247" s="206"/>
      <c r="K247" s="207"/>
      <c r="L247" s="207"/>
      <c r="M247" s="207"/>
      <c r="N247" s="207"/>
      <c r="O247" s="207"/>
      <c r="P247" s="207"/>
      <c r="Q247" s="206"/>
      <c r="R247" s="206"/>
      <c r="S247" s="208"/>
    </row>
    <row r="248" spans="5:19" ht="15.75" x14ac:dyDescent="0.25">
      <c r="E248" s="206"/>
      <c r="K248" s="207"/>
      <c r="L248" s="207"/>
      <c r="M248" s="207"/>
      <c r="N248" s="207"/>
      <c r="O248" s="207"/>
      <c r="P248" s="207"/>
      <c r="Q248" s="206"/>
      <c r="R248" s="206"/>
      <c r="S248" s="208"/>
    </row>
    <row r="249" spans="5:19" ht="15.75" x14ac:dyDescent="0.25">
      <c r="E249" s="206"/>
      <c r="K249" s="207"/>
      <c r="L249" s="207"/>
      <c r="M249" s="207"/>
      <c r="N249" s="207"/>
      <c r="O249" s="207"/>
      <c r="P249" s="207"/>
      <c r="Q249" s="206"/>
      <c r="R249" s="206"/>
      <c r="S249" s="208"/>
    </row>
    <row r="250" spans="5:19" ht="15.75" x14ac:dyDescent="0.25">
      <c r="K250" s="207"/>
      <c r="L250" s="207"/>
      <c r="M250" s="207"/>
      <c r="N250" s="207"/>
      <c r="O250" s="207"/>
      <c r="P250" s="207"/>
      <c r="Q250" s="206"/>
      <c r="R250" s="206"/>
      <c r="S250" s="208"/>
    </row>
    <row r="251" spans="5:19" ht="15.75" x14ac:dyDescent="0.25">
      <c r="K251" s="207"/>
      <c r="L251" s="207"/>
      <c r="M251" s="207"/>
      <c r="N251" s="207"/>
      <c r="O251" s="207"/>
      <c r="P251" s="207"/>
      <c r="Q251" s="206"/>
      <c r="R251" s="206"/>
      <c r="S251" s="208"/>
    </row>
    <row r="252" spans="5:19" ht="15.75" x14ac:dyDescent="0.25">
      <c r="K252" s="207"/>
      <c r="L252" s="207"/>
      <c r="M252" s="207"/>
      <c r="N252" s="207"/>
      <c r="O252" s="207"/>
      <c r="P252" s="207"/>
      <c r="Q252" s="206"/>
      <c r="R252" s="206"/>
      <c r="S252" s="208"/>
    </row>
    <row r="253" spans="5:19" ht="15.75" x14ac:dyDescent="0.25">
      <c r="K253" s="207"/>
      <c r="L253" s="207"/>
      <c r="M253" s="207"/>
      <c r="N253" s="207"/>
      <c r="O253" s="207"/>
      <c r="P253" s="207"/>
      <c r="Q253" s="206"/>
      <c r="R253" s="206"/>
      <c r="S253" s="208"/>
    </row>
    <row r="254" spans="5:19" ht="15.75" x14ac:dyDescent="0.25">
      <c r="K254" s="207"/>
      <c r="L254" s="207"/>
      <c r="M254" s="207"/>
      <c r="N254" s="207"/>
      <c r="O254" s="207"/>
      <c r="P254" s="207"/>
      <c r="Q254" s="206"/>
      <c r="R254" s="206"/>
      <c r="S254" s="208"/>
    </row>
    <row r="255" spans="5:19" ht="15.75" x14ac:dyDescent="0.25">
      <c r="K255" s="207"/>
      <c r="L255" s="207"/>
      <c r="M255" s="207"/>
      <c r="N255" s="207"/>
      <c r="O255" s="207"/>
      <c r="P255" s="207"/>
      <c r="Q255" s="206"/>
      <c r="R255" s="206"/>
      <c r="S255" s="208"/>
    </row>
    <row r="256" spans="5:19" ht="15.75" x14ac:dyDescent="0.25">
      <c r="K256" s="207"/>
      <c r="L256" s="207"/>
      <c r="M256" s="207"/>
      <c r="N256" s="207"/>
      <c r="O256" s="207"/>
      <c r="P256" s="207"/>
      <c r="Q256" s="206"/>
      <c r="R256" s="206"/>
      <c r="S256" s="208"/>
    </row>
    <row r="257" spans="11:19" ht="15.75" x14ac:dyDescent="0.25">
      <c r="K257" s="207"/>
      <c r="L257" s="207"/>
      <c r="M257" s="207"/>
      <c r="N257" s="207"/>
      <c r="O257" s="207"/>
      <c r="P257" s="207"/>
      <c r="Q257" s="206"/>
      <c r="R257" s="206"/>
      <c r="S257" s="208"/>
    </row>
    <row r="258" spans="11:19" ht="15.75" x14ac:dyDescent="0.25">
      <c r="K258" s="207"/>
      <c r="L258" s="207"/>
      <c r="M258" s="207"/>
      <c r="N258" s="207"/>
      <c r="O258" s="207"/>
      <c r="P258" s="207"/>
      <c r="Q258" s="206"/>
      <c r="R258" s="206"/>
      <c r="S258" s="208"/>
    </row>
    <row r="259" spans="11:19" ht="15.75" x14ac:dyDescent="0.25">
      <c r="K259" s="207"/>
      <c r="L259" s="207"/>
      <c r="M259" s="207"/>
      <c r="N259" s="207"/>
      <c r="O259" s="207"/>
      <c r="P259" s="207"/>
      <c r="Q259" s="206"/>
      <c r="R259" s="206"/>
      <c r="S259" s="208"/>
    </row>
    <row r="260" spans="11:19" ht="15.75" x14ac:dyDescent="0.25">
      <c r="K260" s="207"/>
      <c r="L260" s="207"/>
      <c r="M260" s="207"/>
      <c r="N260" s="207"/>
      <c r="O260" s="207"/>
      <c r="P260" s="207"/>
      <c r="Q260" s="206"/>
      <c r="R260" s="206"/>
      <c r="S260" s="208"/>
    </row>
    <row r="261" spans="11:19" ht="15.75" x14ac:dyDescent="0.25">
      <c r="K261" s="207"/>
      <c r="L261" s="207"/>
      <c r="M261" s="207"/>
      <c r="N261" s="207"/>
      <c r="O261" s="207"/>
      <c r="P261" s="207"/>
      <c r="Q261" s="206"/>
      <c r="R261" s="206"/>
      <c r="S261" s="208"/>
    </row>
    <row r="262" spans="11:19" ht="15.75" x14ac:dyDescent="0.25">
      <c r="K262" s="207"/>
      <c r="L262" s="207"/>
      <c r="M262" s="207"/>
      <c r="N262" s="207"/>
      <c r="O262" s="207"/>
      <c r="P262" s="207"/>
      <c r="Q262" s="206"/>
      <c r="R262" s="206"/>
      <c r="S262" s="208"/>
    </row>
    <row r="263" spans="11:19" ht="15.75" x14ac:dyDescent="0.25">
      <c r="K263" s="207"/>
      <c r="L263" s="207"/>
      <c r="M263" s="207"/>
      <c r="N263" s="207"/>
      <c r="O263" s="207"/>
      <c r="P263" s="207"/>
      <c r="Q263" s="206"/>
      <c r="R263" s="206"/>
      <c r="S263" s="208"/>
    </row>
    <row r="264" spans="11:19" ht="15.75" x14ac:dyDescent="0.25">
      <c r="K264" s="207"/>
      <c r="L264" s="207"/>
      <c r="M264" s="207"/>
      <c r="N264" s="207"/>
      <c r="O264" s="207"/>
      <c r="P264" s="207"/>
      <c r="Q264" s="206"/>
      <c r="R264" s="206"/>
      <c r="S264" s="208"/>
    </row>
    <row r="265" spans="11:19" ht="15.75" x14ac:dyDescent="0.25">
      <c r="K265" s="207"/>
      <c r="L265" s="207"/>
      <c r="M265" s="207"/>
      <c r="N265" s="207"/>
      <c r="O265" s="207"/>
      <c r="P265" s="207"/>
      <c r="Q265" s="206"/>
      <c r="R265" s="206"/>
      <c r="S265" s="208"/>
    </row>
    <row r="266" spans="11:19" ht="15.75" x14ac:dyDescent="0.25">
      <c r="K266" s="207"/>
      <c r="L266" s="207"/>
      <c r="M266" s="207"/>
      <c r="N266" s="207"/>
      <c r="O266" s="207"/>
      <c r="P266" s="207"/>
      <c r="Q266" s="206"/>
      <c r="R266" s="206"/>
      <c r="S266" s="208"/>
    </row>
    <row r="267" spans="11:19" ht="15.75" x14ac:dyDescent="0.25">
      <c r="K267" s="207"/>
      <c r="L267" s="207"/>
      <c r="M267" s="207"/>
      <c r="N267" s="207"/>
      <c r="O267" s="207"/>
      <c r="P267" s="207"/>
      <c r="Q267" s="206"/>
      <c r="R267" s="206"/>
      <c r="S267" s="208"/>
    </row>
    <row r="268" spans="11:19" ht="15.75" x14ac:dyDescent="0.25">
      <c r="K268" s="207"/>
      <c r="L268" s="207"/>
      <c r="M268" s="207"/>
      <c r="N268" s="207"/>
      <c r="O268" s="207"/>
      <c r="P268" s="207"/>
      <c r="Q268" s="206"/>
      <c r="R268" s="206"/>
      <c r="S268" s="208"/>
    </row>
    <row r="269" spans="11:19" ht="15.75" x14ac:dyDescent="0.25">
      <c r="K269" s="207"/>
      <c r="L269" s="207"/>
      <c r="M269" s="207"/>
      <c r="N269" s="207"/>
      <c r="O269" s="207"/>
      <c r="P269" s="207"/>
      <c r="Q269" s="206"/>
      <c r="R269" s="206"/>
      <c r="S269" s="208"/>
    </row>
    <row r="270" spans="11:19" ht="15.75" x14ac:dyDescent="0.25">
      <c r="K270" s="207"/>
      <c r="L270" s="207"/>
      <c r="M270" s="207"/>
      <c r="N270" s="207"/>
      <c r="O270" s="207"/>
      <c r="P270" s="207"/>
      <c r="Q270" s="206"/>
      <c r="R270" s="206"/>
      <c r="S270" s="208"/>
    </row>
    <row r="271" spans="11:19" ht="15.75" x14ac:dyDescent="0.25">
      <c r="K271" s="207"/>
      <c r="L271" s="207"/>
      <c r="M271" s="207"/>
      <c r="N271" s="207"/>
      <c r="O271" s="207"/>
      <c r="P271" s="207"/>
      <c r="Q271" s="206"/>
      <c r="R271" s="206"/>
      <c r="S271" s="208"/>
    </row>
    <row r="272" spans="11:19" ht="15.75" x14ac:dyDescent="0.25">
      <c r="K272" s="207"/>
      <c r="L272" s="207"/>
      <c r="M272" s="207"/>
      <c r="N272" s="207"/>
      <c r="O272" s="207"/>
      <c r="P272" s="207"/>
      <c r="Q272" s="206"/>
      <c r="R272" s="206"/>
      <c r="S272" s="208"/>
    </row>
    <row r="273" spans="11:19" ht="15.75" x14ac:dyDescent="0.25">
      <c r="K273" s="207"/>
      <c r="L273" s="207"/>
      <c r="M273" s="207"/>
      <c r="N273" s="207"/>
      <c r="O273" s="207"/>
      <c r="P273" s="207"/>
      <c r="Q273" s="206"/>
      <c r="R273" s="206"/>
      <c r="S273" s="208"/>
    </row>
    <row r="274" spans="11:19" ht="15.75" x14ac:dyDescent="0.25">
      <c r="K274" s="207"/>
      <c r="L274" s="207"/>
      <c r="M274" s="207"/>
      <c r="N274" s="207"/>
      <c r="O274" s="207"/>
      <c r="P274" s="207"/>
      <c r="Q274" s="206"/>
      <c r="R274" s="206"/>
      <c r="S274" s="208"/>
    </row>
    <row r="275" spans="11:19" ht="15.75" x14ac:dyDescent="0.25">
      <c r="K275" s="207"/>
      <c r="L275" s="207"/>
      <c r="M275" s="207"/>
      <c r="N275" s="207"/>
      <c r="O275" s="207"/>
      <c r="P275" s="207"/>
      <c r="Q275" s="206"/>
      <c r="R275" s="206"/>
      <c r="S275" s="208"/>
    </row>
    <row r="276" spans="11:19" ht="15.75" x14ac:dyDescent="0.25">
      <c r="K276" s="207"/>
      <c r="L276" s="207"/>
      <c r="M276" s="207"/>
      <c r="N276" s="207"/>
      <c r="O276" s="207"/>
      <c r="P276" s="207"/>
      <c r="Q276" s="206"/>
      <c r="R276" s="206"/>
      <c r="S276" s="208"/>
    </row>
    <row r="277" spans="11:19" ht="15.75" x14ac:dyDescent="0.25">
      <c r="K277" s="207"/>
      <c r="L277" s="207"/>
      <c r="M277" s="207"/>
      <c r="N277" s="207"/>
      <c r="O277" s="207"/>
      <c r="P277" s="207"/>
      <c r="Q277" s="206"/>
      <c r="R277" s="206"/>
      <c r="S277" s="208"/>
    </row>
    <row r="278" spans="11:19" ht="15.75" x14ac:dyDescent="0.25">
      <c r="K278" s="207"/>
      <c r="L278" s="207"/>
      <c r="M278" s="207"/>
      <c r="N278" s="207"/>
      <c r="O278" s="207"/>
      <c r="P278" s="207"/>
      <c r="Q278" s="206"/>
      <c r="R278" s="206"/>
      <c r="S278" s="208"/>
    </row>
    <row r="279" spans="11:19" ht="15.75" x14ac:dyDescent="0.25">
      <c r="K279" s="207"/>
      <c r="L279" s="207"/>
      <c r="M279" s="207"/>
      <c r="N279" s="207"/>
      <c r="O279" s="207"/>
      <c r="P279" s="207"/>
      <c r="Q279" s="206"/>
      <c r="R279" s="206"/>
      <c r="S279" s="208"/>
    </row>
    <row r="280" spans="11:19" ht="15.75" x14ac:dyDescent="0.25">
      <c r="K280" s="207"/>
      <c r="L280" s="207"/>
      <c r="M280" s="207"/>
      <c r="N280" s="207"/>
      <c r="O280" s="207"/>
      <c r="P280" s="207"/>
      <c r="Q280" s="206"/>
      <c r="R280" s="206"/>
      <c r="S280" s="208"/>
    </row>
    <row r="281" spans="11:19" ht="15.75" x14ac:dyDescent="0.25">
      <c r="K281" s="207"/>
      <c r="L281" s="207"/>
      <c r="M281" s="207"/>
      <c r="N281" s="207"/>
      <c r="O281" s="207"/>
      <c r="P281" s="207"/>
      <c r="Q281" s="206"/>
      <c r="R281" s="206"/>
      <c r="S281" s="208"/>
    </row>
    <row r="282" spans="11:19" ht="15.75" x14ac:dyDescent="0.25">
      <c r="K282" s="207"/>
      <c r="L282" s="207"/>
      <c r="M282" s="207"/>
      <c r="N282" s="207"/>
      <c r="O282" s="207"/>
      <c r="P282" s="207"/>
      <c r="Q282" s="206"/>
      <c r="R282" s="206"/>
      <c r="S282" s="208"/>
    </row>
    <row r="283" spans="11:19" ht="15.75" x14ac:dyDescent="0.25">
      <c r="K283" s="207"/>
      <c r="L283" s="207"/>
      <c r="M283" s="207"/>
      <c r="N283" s="207"/>
      <c r="O283" s="207"/>
      <c r="P283" s="207"/>
      <c r="Q283" s="206"/>
      <c r="R283" s="206"/>
      <c r="S283" s="208"/>
    </row>
    <row r="284" spans="11:19" ht="15.75" x14ac:dyDescent="0.25">
      <c r="K284" s="207"/>
      <c r="L284" s="207"/>
      <c r="M284" s="207"/>
      <c r="N284" s="207"/>
      <c r="O284" s="207"/>
      <c r="P284" s="207"/>
      <c r="Q284" s="206"/>
      <c r="R284" s="206"/>
      <c r="S284" s="208"/>
    </row>
    <row r="285" spans="11:19" ht="15.75" x14ac:dyDescent="0.25">
      <c r="K285" s="207"/>
      <c r="L285" s="207"/>
      <c r="M285" s="207"/>
      <c r="N285" s="207"/>
      <c r="O285" s="207"/>
      <c r="P285" s="207"/>
      <c r="Q285" s="206"/>
      <c r="R285" s="206"/>
      <c r="S285" s="208"/>
    </row>
    <row r="286" spans="11:19" ht="15.75" x14ac:dyDescent="0.25">
      <c r="K286" s="207"/>
      <c r="L286" s="207"/>
      <c r="M286" s="207"/>
      <c r="N286" s="207"/>
      <c r="O286" s="207"/>
      <c r="P286" s="207"/>
      <c r="Q286" s="206"/>
      <c r="R286" s="206"/>
      <c r="S286" s="208"/>
    </row>
    <row r="287" spans="11:19" ht="15.75" x14ac:dyDescent="0.25">
      <c r="K287" s="207"/>
      <c r="L287" s="207"/>
      <c r="M287" s="207"/>
      <c r="N287" s="207"/>
      <c r="O287" s="207"/>
      <c r="P287" s="207"/>
      <c r="Q287" s="206"/>
      <c r="R287" s="206"/>
      <c r="S287" s="208"/>
    </row>
    <row r="288" spans="11:19" ht="15.75" x14ac:dyDescent="0.25">
      <c r="K288" s="207"/>
      <c r="L288" s="207"/>
      <c r="M288" s="207"/>
      <c r="N288" s="207"/>
      <c r="O288" s="207"/>
      <c r="P288" s="207"/>
      <c r="Q288" s="206"/>
      <c r="R288" s="206"/>
      <c r="S288" s="208"/>
    </row>
    <row r="289" spans="11:19" ht="15.75" x14ac:dyDescent="0.25">
      <c r="K289" s="207"/>
      <c r="L289" s="207"/>
      <c r="M289" s="207"/>
      <c r="N289" s="207"/>
      <c r="O289" s="207"/>
      <c r="P289" s="207"/>
      <c r="Q289" s="206"/>
      <c r="R289" s="206"/>
      <c r="S289" s="208"/>
    </row>
    <row r="290" spans="11:19" ht="15.75" x14ac:dyDescent="0.25">
      <c r="K290" s="207"/>
      <c r="L290" s="207"/>
      <c r="M290" s="207"/>
      <c r="N290" s="207"/>
      <c r="O290" s="207"/>
      <c r="P290" s="207"/>
      <c r="Q290" s="206"/>
      <c r="R290" s="206"/>
      <c r="S290" s="208"/>
    </row>
    <row r="291" spans="11:19" ht="15.75" x14ac:dyDescent="0.25">
      <c r="K291" s="207"/>
      <c r="L291" s="207"/>
      <c r="M291" s="207"/>
      <c r="N291" s="207"/>
      <c r="O291" s="207"/>
      <c r="P291" s="207"/>
      <c r="Q291" s="206"/>
      <c r="R291" s="206"/>
      <c r="S291" s="208"/>
    </row>
    <row r="292" spans="11:19" ht="15.75" x14ac:dyDescent="0.25">
      <c r="K292" s="207"/>
      <c r="L292" s="207"/>
      <c r="M292" s="207"/>
      <c r="N292" s="207"/>
      <c r="O292" s="207"/>
      <c r="P292" s="207"/>
      <c r="Q292" s="206"/>
      <c r="R292" s="206"/>
      <c r="S292" s="208"/>
    </row>
    <row r="293" spans="11:19" ht="15.75" x14ac:dyDescent="0.25">
      <c r="K293" s="207"/>
      <c r="L293" s="207"/>
      <c r="M293" s="207"/>
      <c r="N293" s="207"/>
      <c r="O293" s="207"/>
      <c r="P293" s="207"/>
      <c r="Q293" s="206"/>
      <c r="R293" s="206"/>
      <c r="S293" s="208"/>
    </row>
    <row r="294" spans="11:19" ht="15.75" x14ac:dyDescent="0.25">
      <c r="K294" s="207"/>
      <c r="L294" s="207"/>
      <c r="M294" s="207"/>
      <c r="N294" s="207"/>
      <c r="O294" s="207"/>
      <c r="P294" s="207"/>
      <c r="Q294" s="206"/>
      <c r="R294" s="206"/>
      <c r="S294" s="208"/>
    </row>
    <row r="295" spans="11:19" ht="15.75" x14ac:dyDescent="0.25">
      <c r="K295" s="207"/>
      <c r="L295" s="207"/>
      <c r="M295" s="207"/>
      <c r="N295" s="207"/>
      <c r="O295" s="207"/>
      <c r="P295" s="207"/>
      <c r="Q295" s="206"/>
      <c r="R295" s="206"/>
      <c r="S295" s="208"/>
    </row>
    <row r="296" spans="11:19" ht="15.75" x14ac:dyDescent="0.25">
      <c r="K296" s="207"/>
      <c r="L296" s="207"/>
      <c r="M296" s="207"/>
      <c r="N296" s="207"/>
      <c r="O296" s="207"/>
      <c r="P296" s="207"/>
      <c r="Q296" s="206"/>
      <c r="R296" s="206"/>
      <c r="S296" s="208"/>
    </row>
    <row r="297" spans="11:19" ht="15.75" x14ac:dyDescent="0.25">
      <c r="K297" s="207"/>
      <c r="L297" s="207"/>
      <c r="M297" s="207"/>
      <c r="N297" s="207"/>
      <c r="O297" s="207"/>
      <c r="P297" s="207"/>
      <c r="Q297" s="206"/>
      <c r="R297" s="206"/>
      <c r="S297" s="208"/>
    </row>
    <row r="298" spans="11:19" ht="15.75" x14ac:dyDescent="0.25">
      <c r="K298" s="207"/>
      <c r="L298" s="207"/>
      <c r="M298" s="207"/>
      <c r="N298" s="207"/>
      <c r="O298" s="207"/>
      <c r="P298" s="207"/>
      <c r="Q298" s="206"/>
      <c r="R298" s="206"/>
      <c r="S298" s="208"/>
    </row>
    <row r="299" spans="11:19" ht="15.75" x14ac:dyDescent="0.25">
      <c r="K299" s="207"/>
      <c r="L299" s="207"/>
      <c r="M299" s="207"/>
      <c r="N299" s="207"/>
      <c r="O299" s="207"/>
      <c r="P299" s="207"/>
      <c r="Q299" s="206"/>
      <c r="R299" s="206"/>
      <c r="S299" s="208"/>
    </row>
    <row r="300" spans="11:19" ht="15.75" x14ac:dyDescent="0.25">
      <c r="K300" s="207"/>
      <c r="L300" s="207"/>
      <c r="M300" s="207"/>
      <c r="N300" s="207"/>
      <c r="O300" s="207"/>
      <c r="P300" s="207"/>
      <c r="Q300" s="206"/>
      <c r="R300" s="206"/>
      <c r="S300" s="208"/>
    </row>
    <row r="301" spans="11:19" ht="15.75" x14ac:dyDescent="0.25">
      <c r="K301" s="207"/>
      <c r="L301" s="207"/>
      <c r="M301" s="207"/>
      <c r="N301" s="207"/>
      <c r="O301" s="207"/>
      <c r="P301" s="207"/>
      <c r="Q301" s="206"/>
      <c r="R301" s="206"/>
      <c r="S301" s="208"/>
    </row>
    <row r="302" spans="11:19" ht="15.75" x14ac:dyDescent="0.25">
      <c r="K302" s="207"/>
      <c r="L302" s="207"/>
      <c r="M302" s="207"/>
      <c r="N302" s="207"/>
      <c r="O302" s="207"/>
      <c r="P302" s="207"/>
      <c r="Q302" s="206"/>
      <c r="R302" s="206"/>
      <c r="S302" s="208"/>
    </row>
    <row r="303" spans="11:19" ht="15.75" x14ac:dyDescent="0.25">
      <c r="K303" s="207"/>
      <c r="L303" s="207"/>
      <c r="M303" s="207"/>
      <c r="N303" s="207"/>
      <c r="O303" s="207"/>
      <c r="P303" s="207"/>
      <c r="Q303" s="206"/>
      <c r="R303" s="206"/>
      <c r="S303" s="208"/>
    </row>
    <row r="304" spans="11:19" ht="15.75" x14ac:dyDescent="0.25">
      <c r="K304" s="207"/>
      <c r="L304" s="207"/>
      <c r="M304" s="207"/>
      <c r="N304" s="207"/>
      <c r="O304" s="207"/>
      <c r="P304" s="207"/>
      <c r="Q304" s="206"/>
      <c r="R304" s="206"/>
      <c r="S304" s="208"/>
    </row>
    <row r="305" spans="11:19" ht="15.75" x14ac:dyDescent="0.25">
      <c r="K305" s="207"/>
      <c r="L305" s="207"/>
      <c r="M305" s="207"/>
      <c r="N305" s="207"/>
      <c r="O305" s="207"/>
      <c r="P305" s="207"/>
      <c r="Q305" s="206"/>
      <c r="R305" s="206"/>
      <c r="S305" s="208"/>
    </row>
    <row r="306" spans="11:19" ht="15.75" x14ac:dyDescent="0.25">
      <c r="K306" s="207"/>
      <c r="L306" s="207"/>
      <c r="M306" s="207"/>
      <c r="N306" s="207"/>
      <c r="O306" s="207"/>
      <c r="P306" s="207"/>
      <c r="Q306" s="206"/>
      <c r="R306" s="206"/>
      <c r="S306" s="208"/>
    </row>
    <row r="307" spans="11:19" ht="15.75" x14ac:dyDescent="0.25">
      <c r="K307" s="207"/>
      <c r="L307" s="207"/>
      <c r="M307" s="207"/>
      <c r="N307" s="207"/>
      <c r="O307" s="207"/>
      <c r="P307" s="207"/>
      <c r="Q307" s="206"/>
      <c r="R307" s="206"/>
      <c r="S307" s="208"/>
    </row>
    <row r="308" spans="11:19" ht="15.75" x14ac:dyDescent="0.25">
      <c r="K308" s="207"/>
      <c r="L308" s="207"/>
      <c r="M308" s="207"/>
      <c r="N308" s="207"/>
      <c r="O308" s="207"/>
      <c r="P308" s="207"/>
      <c r="Q308" s="206"/>
      <c r="R308" s="206"/>
      <c r="S308" s="208"/>
    </row>
    <row r="309" spans="11:19" ht="15.75" x14ac:dyDescent="0.25">
      <c r="K309" s="207"/>
      <c r="L309" s="207"/>
      <c r="M309" s="207"/>
      <c r="N309" s="207"/>
      <c r="O309" s="207"/>
      <c r="P309" s="207"/>
      <c r="Q309" s="206"/>
      <c r="R309" s="206"/>
      <c r="S309" s="208"/>
    </row>
    <row r="310" spans="11:19" ht="15.75" x14ac:dyDescent="0.25">
      <c r="K310" s="207"/>
      <c r="L310" s="207"/>
      <c r="M310" s="207"/>
      <c r="N310" s="207"/>
      <c r="O310" s="207"/>
      <c r="P310" s="207"/>
      <c r="Q310" s="206"/>
      <c r="R310" s="206"/>
      <c r="S310" s="208"/>
    </row>
    <row r="311" spans="11:19" ht="15.75" x14ac:dyDescent="0.25">
      <c r="K311" s="207"/>
      <c r="L311" s="207"/>
      <c r="M311" s="207"/>
      <c r="N311" s="207"/>
      <c r="O311" s="207"/>
      <c r="P311" s="207"/>
      <c r="Q311" s="206"/>
      <c r="R311" s="206"/>
    </row>
    <row r="312" spans="11:19" ht="15.75" x14ac:dyDescent="0.25">
      <c r="K312" s="207"/>
      <c r="L312" s="207"/>
      <c r="M312" s="207"/>
      <c r="N312" s="207"/>
      <c r="O312" s="207"/>
      <c r="P312" s="207"/>
      <c r="Q312" s="206"/>
      <c r="R312" s="206"/>
    </row>
    <row r="313" spans="11:19" x14ac:dyDescent="0.25">
      <c r="Q313" s="206"/>
      <c r="R313" s="206"/>
    </row>
  </sheetData>
  <mergeCells count="23">
    <mergeCell ref="D17:E17"/>
    <mergeCell ref="D18:E18"/>
    <mergeCell ref="D19:E19"/>
    <mergeCell ref="D20:E20"/>
    <mergeCell ref="D11:E11"/>
    <mergeCell ref="D12:E12"/>
    <mergeCell ref="D13:E13"/>
    <mergeCell ref="D14:E14"/>
    <mergeCell ref="D15:E15"/>
    <mergeCell ref="D16:E16"/>
    <mergeCell ref="D8:E8"/>
    <mergeCell ref="R8:T8"/>
    <mergeCell ref="D9:E9"/>
    <mergeCell ref="R9:T9"/>
    <mergeCell ref="D10:E10"/>
    <mergeCell ref="R10:T10"/>
    <mergeCell ref="D7:E7"/>
    <mergeCell ref="R7:T7"/>
    <mergeCell ref="A1:J1"/>
    <mergeCell ref="A2:W2"/>
    <mergeCell ref="A3:W3"/>
    <mergeCell ref="D6:E6"/>
    <mergeCell ref="R6:T6"/>
  </mergeCells>
  <dataValidations count="11">
    <dataValidation type="whole" errorStyle="warning" allowBlank="1" showErrorMessage="1" errorTitle="Note incorrecte" error="Saisir une note entière de 1 à 5." sqref="K23:P222" xr:uid="{02637303-FB1C-4E87-A74B-F82292D7C111}">
      <formula1>1</formula1>
      <formula2>5</formula2>
    </dataValidation>
    <dataValidation type="list" allowBlank="1" sqref="W23:W222" xr:uid="{32F85DE7-06CC-402C-8610-71C9B93D12A4}">
      <formula1>"Faible,Normale,Haute"</formula1>
    </dataValidation>
    <dataValidation type="list" allowBlank="1" sqref="T23:T222" xr:uid="{FE6717EE-1B24-41F9-BDF2-96B67A5997DF}">
      <formula1>"Oui,Non,Peut-être"</formula1>
    </dataValidation>
    <dataValidation type="list" allowBlank="1" sqref="R23:R222" xr:uid="{B9BCA714-0A71-46BB-8EE5-63E7750AED8F}">
      <formula1>"Oui,Non"</formula1>
    </dataValidation>
    <dataValidation type="list" allowBlank="1" sqref="Q23:Q222" xr:uid="{11B11953-CBDB-475F-9671-8167891176A3}">
      <formula1>"Faible,Moyen,Bon"</formula1>
    </dataValidation>
    <dataValidation type="list" allowBlank="1" sqref="J23:J222" xr:uid="{AE51A3BA-C845-45AC-8616-19D6C9473F44}">
      <formula1>"Autonome,Aide partielle,Aide totale,Non concerné"</formula1>
    </dataValidation>
    <dataValidation type="list" allowBlank="1" sqref="G23:G222" xr:uid="{D96EA3A5-95A3-4570-9810-4CF994893FE3}">
      <formula1>"Oui,Non,À vérifier"</formula1>
    </dataValidation>
    <dataValidation type="list" allowBlank="1" sqref="F23:F222" xr:uid="{9562D16C-411C-4E4E-B544-70B13A7ECA14}">
      <formula1>"Normal,Haché,Mixé,Manger-main,Diabétique,Sans sel,Enrichi,Autre"</formula1>
    </dataValidation>
    <dataValidation type="list" allowBlank="1" sqref="E23:E222" xr:uid="{1B2E5225-1FF5-4AA7-8DF5-888E6C3A331B}">
      <formula1>"Résident,Famille,Aidant,Agent,Autre"</formula1>
    </dataValidation>
    <dataValidation type="list" allowBlank="1" sqref="D23:D222" xr:uid="{FA8143A3-6AED-4FF4-BAC2-3FA111974574}">
      <formula1>"Midi,Soir"</formula1>
    </dataValidation>
    <dataValidation type="list" allowBlank="1" sqref="C23:C222" xr:uid="{C427CCA8-5298-4AC2-B1A9-385A620CC59C}">
      <formula1>"Lundi,Mardi,Mercredi,Jeudi,Vendredi,Samedi,Dimanche"</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tabColor rgb="FF70AD47"/>
  </sheetPr>
  <dimension ref="B1:L33"/>
  <sheetViews>
    <sheetView showGridLines="0" workbookViewId="0">
      <selection activeCell="A3" sqref="A3"/>
    </sheetView>
  </sheetViews>
  <sheetFormatPr baseColWidth="10" defaultColWidth="9.140625" defaultRowHeight="15.75" x14ac:dyDescent="0.25"/>
  <cols>
    <col min="1" max="1" width="5.42578125" style="4" customWidth="1"/>
    <col min="2" max="2" width="24.28515625" style="4" customWidth="1"/>
    <col min="3" max="3" width="22" style="4" customWidth="1"/>
    <col min="4" max="4" width="36" style="4" customWidth="1"/>
    <col min="5" max="5" width="38.5703125" style="4" customWidth="1"/>
    <col min="6" max="6" width="36.85546875" style="4" customWidth="1"/>
    <col min="7" max="7" width="33.42578125" style="4" customWidth="1"/>
    <col min="8" max="8" width="42.5703125" style="4" customWidth="1"/>
    <col min="9" max="9" width="28.85546875" style="4" customWidth="1"/>
    <col min="10" max="10" width="37.140625" style="4" customWidth="1"/>
    <col min="11" max="11" width="83.7109375" style="4" customWidth="1"/>
    <col min="12" max="16384" width="9.140625" style="4"/>
  </cols>
  <sheetData>
    <row r="1" spans="2:12" ht="30" customHeight="1" x14ac:dyDescent="0.25">
      <c r="B1" s="788" t="s">
        <v>1717</v>
      </c>
      <c r="C1" s="789"/>
      <c r="D1" s="789"/>
      <c r="E1" s="789"/>
      <c r="F1" s="789"/>
      <c r="G1" s="790"/>
      <c r="H1" s="276"/>
      <c r="I1" s="276"/>
      <c r="J1" s="276"/>
      <c r="K1" s="276"/>
    </row>
    <row r="2" spans="2:12" ht="42" customHeight="1" x14ac:dyDescent="0.25">
      <c r="B2" s="13" t="s">
        <v>1718</v>
      </c>
      <c r="H2" s="98" t="s">
        <v>2829</v>
      </c>
      <c r="L2" s="768" t="s">
        <v>4701</v>
      </c>
    </row>
    <row r="3" spans="2:12" ht="38.1" customHeight="1" x14ac:dyDescent="0.25">
      <c r="B3" s="278" t="s">
        <v>1719</v>
      </c>
      <c r="C3" s="278" t="s">
        <v>1720</v>
      </c>
      <c r="D3" s="278" t="s">
        <v>1721</v>
      </c>
      <c r="E3" s="278" t="s">
        <v>1722</v>
      </c>
      <c r="F3" s="278" t="s">
        <v>1723</v>
      </c>
      <c r="G3" s="278" t="s">
        <v>1724</v>
      </c>
      <c r="H3" s="278" t="s">
        <v>1725</v>
      </c>
      <c r="I3" s="278" t="s">
        <v>1726</v>
      </c>
      <c r="J3" s="278" t="s">
        <v>1727</v>
      </c>
      <c r="K3" s="278" t="s">
        <v>1439</v>
      </c>
    </row>
    <row r="4" spans="2:12" ht="42" customHeight="1" x14ac:dyDescent="0.25">
      <c r="B4" s="5" t="s">
        <v>241</v>
      </c>
      <c r="C4" s="5" t="s">
        <v>1728</v>
      </c>
      <c r="D4" s="5" t="s">
        <v>1729</v>
      </c>
      <c r="E4" s="5" t="s">
        <v>1730</v>
      </c>
      <c r="F4" s="5" t="s">
        <v>1731</v>
      </c>
      <c r="G4" s="5" t="s">
        <v>1732</v>
      </c>
      <c r="H4" s="5" t="s">
        <v>1733</v>
      </c>
      <c r="I4" s="5" t="s">
        <v>1734</v>
      </c>
      <c r="J4" s="5" t="s">
        <v>1735</v>
      </c>
      <c r="K4" s="5" t="s">
        <v>1471</v>
      </c>
    </row>
    <row r="5" spans="2:12" ht="42" customHeight="1" x14ac:dyDescent="0.25">
      <c r="B5" s="5" t="s">
        <v>241</v>
      </c>
      <c r="C5" s="5" t="s">
        <v>389</v>
      </c>
      <c r="D5" s="5" t="s">
        <v>1736</v>
      </c>
      <c r="E5" s="5" t="s">
        <v>1737</v>
      </c>
      <c r="F5" s="5" t="s">
        <v>1738</v>
      </c>
      <c r="G5" s="5" t="s">
        <v>1739</v>
      </c>
      <c r="H5" s="5" t="s">
        <v>1740</v>
      </c>
      <c r="I5" s="5" t="s">
        <v>1741</v>
      </c>
      <c r="J5" s="5" t="s">
        <v>1742</v>
      </c>
      <c r="K5" s="5" t="s">
        <v>1471</v>
      </c>
    </row>
    <row r="6" spans="2:12" ht="42" customHeight="1" x14ac:dyDescent="0.25">
      <c r="B6" s="5" t="s">
        <v>241</v>
      </c>
      <c r="C6" s="5" t="s">
        <v>1743</v>
      </c>
      <c r="D6" s="5" t="s">
        <v>1744</v>
      </c>
      <c r="E6" s="5" t="s">
        <v>1745</v>
      </c>
      <c r="F6" s="5" t="s">
        <v>1746</v>
      </c>
      <c r="G6" s="5" t="s">
        <v>1739</v>
      </c>
      <c r="H6" s="5" t="s">
        <v>1747</v>
      </c>
      <c r="I6" s="5" t="s">
        <v>1748</v>
      </c>
      <c r="J6" s="5" t="s">
        <v>1749</v>
      </c>
      <c r="K6" s="5" t="s">
        <v>1471</v>
      </c>
    </row>
    <row r="7" spans="2:12" ht="42" customHeight="1" x14ac:dyDescent="0.25">
      <c r="B7" s="5" t="s">
        <v>241</v>
      </c>
      <c r="C7" s="5" t="s">
        <v>397</v>
      </c>
      <c r="D7" s="5" t="s">
        <v>1750</v>
      </c>
      <c r="E7" s="5" t="s">
        <v>1751</v>
      </c>
      <c r="F7" s="6" t="s">
        <v>1752</v>
      </c>
      <c r="G7" s="6" t="s">
        <v>1753</v>
      </c>
      <c r="H7" s="5" t="s">
        <v>1754</v>
      </c>
      <c r="I7" s="5" t="s">
        <v>1755</v>
      </c>
      <c r="J7" s="6" t="s">
        <v>1756</v>
      </c>
      <c r="K7" s="5" t="s">
        <v>1471</v>
      </c>
    </row>
    <row r="8" spans="2:12" ht="42" customHeight="1" x14ac:dyDescent="0.25">
      <c r="B8" s="5" t="s">
        <v>241</v>
      </c>
      <c r="C8" s="5" t="s">
        <v>414</v>
      </c>
      <c r="D8" s="5" t="s">
        <v>1757</v>
      </c>
      <c r="E8" s="5" t="s">
        <v>1758</v>
      </c>
      <c r="F8" s="5" t="s">
        <v>1759</v>
      </c>
      <c r="G8" s="5" t="s">
        <v>1739</v>
      </c>
      <c r="H8" s="5" t="s">
        <v>1760</v>
      </c>
      <c r="I8" s="5" t="s">
        <v>1761</v>
      </c>
      <c r="J8" s="5" t="s">
        <v>1762</v>
      </c>
      <c r="K8" s="5" t="s">
        <v>1471</v>
      </c>
    </row>
    <row r="9" spans="2:12" ht="42" customHeight="1" x14ac:dyDescent="0.25">
      <c r="B9" s="5" t="s">
        <v>241</v>
      </c>
      <c r="C9" s="5" t="s">
        <v>1763</v>
      </c>
      <c r="D9" s="5" t="s">
        <v>1764</v>
      </c>
      <c r="E9" s="5" t="s">
        <v>1765</v>
      </c>
      <c r="F9" s="5" t="s">
        <v>1766</v>
      </c>
      <c r="G9" s="5" t="s">
        <v>1739</v>
      </c>
      <c r="H9" s="5" t="s">
        <v>1767</v>
      </c>
      <c r="I9" s="5" t="s">
        <v>1768</v>
      </c>
      <c r="J9" s="5" t="s">
        <v>1769</v>
      </c>
      <c r="K9" s="5" t="s">
        <v>1471</v>
      </c>
    </row>
    <row r="10" spans="2:12" ht="42" customHeight="1" x14ac:dyDescent="0.25">
      <c r="B10" s="5" t="s">
        <v>241</v>
      </c>
      <c r="C10" s="5" t="s">
        <v>1770</v>
      </c>
      <c r="D10" s="5" t="s">
        <v>1771</v>
      </c>
      <c r="E10" s="5" t="s">
        <v>1772</v>
      </c>
      <c r="F10" s="5" t="s">
        <v>1773</v>
      </c>
      <c r="G10" s="5" t="s">
        <v>1739</v>
      </c>
      <c r="H10" s="5" t="s">
        <v>1774</v>
      </c>
      <c r="I10" s="5" t="s">
        <v>1775</v>
      </c>
      <c r="J10" s="5" t="s">
        <v>1776</v>
      </c>
      <c r="K10" s="5" t="s">
        <v>1471</v>
      </c>
    </row>
    <row r="11" spans="2:12" ht="42" customHeight="1" x14ac:dyDescent="0.25">
      <c r="B11" s="5" t="s">
        <v>241</v>
      </c>
      <c r="C11" s="5" t="s">
        <v>424</v>
      </c>
      <c r="D11" s="5" t="s">
        <v>1777</v>
      </c>
      <c r="E11" s="5" t="s">
        <v>1778</v>
      </c>
      <c r="F11" s="5" t="s">
        <v>1779</v>
      </c>
      <c r="G11" s="5" t="s">
        <v>1739</v>
      </c>
      <c r="H11" s="5" t="s">
        <v>1780</v>
      </c>
      <c r="I11" s="5" t="s">
        <v>1781</v>
      </c>
      <c r="J11" s="5" t="s">
        <v>1782</v>
      </c>
      <c r="K11" s="5" t="s">
        <v>1471</v>
      </c>
    </row>
    <row r="12" spans="2:12" ht="42" customHeight="1" x14ac:dyDescent="0.25">
      <c r="B12" s="5" t="s">
        <v>241</v>
      </c>
      <c r="C12" s="5" t="s">
        <v>438</v>
      </c>
      <c r="D12" s="5" t="s">
        <v>1783</v>
      </c>
      <c r="E12" s="5" t="s">
        <v>1784</v>
      </c>
      <c r="F12" s="5" t="s">
        <v>1785</v>
      </c>
      <c r="G12" s="5" t="s">
        <v>1786</v>
      </c>
      <c r="H12" s="5" t="s">
        <v>1787</v>
      </c>
      <c r="I12" s="5" t="s">
        <v>1788</v>
      </c>
      <c r="J12" s="5" t="s">
        <v>1789</v>
      </c>
      <c r="K12" s="5" t="s">
        <v>1451</v>
      </c>
    </row>
    <row r="13" spans="2:12" ht="42" customHeight="1" x14ac:dyDescent="0.25">
      <c r="B13" s="5" t="s">
        <v>1790</v>
      </c>
      <c r="C13" s="5" t="s">
        <v>1791</v>
      </c>
      <c r="D13" s="5" t="s">
        <v>1792</v>
      </c>
      <c r="E13" s="5" t="s">
        <v>1793</v>
      </c>
      <c r="F13" s="5" t="s">
        <v>1794</v>
      </c>
      <c r="G13" s="5" t="s">
        <v>1795</v>
      </c>
      <c r="H13" s="5" t="s">
        <v>1796</v>
      </c>
      <c r="I13" s="5" t="s">
        <v>1797</v>
      </c>
      <c r="J13" s="5" t="s">
        <v>1798</v>
      </c>
      <c r="K13" s="5" t="s">
        <v>1451</v>
      </c>
    </row>
    <row r="14" spans="2:12" ht="42" customHeight="1" x14ac:dyDescent="0.25">
      <c r="B14" s="5" t="s">
        <v>458</v>
      </c>
      <c r="C14" s="5" t="s">
        <v>1799</v>
      </c>
      <c r="D14" s="5" t="s">
        <v>1800</v>
      </c>
      <c r="E14" s="5" t="s">
        <v>1801</v>
      </c>
      <c r="F14" s="6" t="s">
        <v>1802</v>
      </c>
      <c r="G14" s="6" t="s">
        <v>1803</v>
      </c>
      <c r="H14" s="5" t="s">
        <v>1804</v>
      </c>
      <c r="I14" s="5" t="s">
        <v>1805</v>
      </c>
      <c r="J14" s="6" t="s">
        <v>1806</v>
      </c>
      <c r="K14" s="5" t="s">
        <v>1502</v>
      </c>
    </row>
    <row r="15" spans="2:12" ht="42" customHeight="1" x14ac:dyDescent="0.25">
      <c r="B15" s="5" t="s">
        <v>458</v>
      </c>
      <c r="C15" s="5" t="s">
        <v>1807</v>
      </c>
      <c r="D15" s="5" t="s">
        <v>1808</v>
      </c>
      <c r="E15" s="5" t="s">
        <v>1809</v>
      </c>
      <c r="F15" s="6" t="s">
        <v>1810</v>
      </c>
      <c r="G15" s="6" t="s">
        <v>1811</v>
      </c>
      <c r="H15" s="5" t="s">
        <v>1812</v>
      </c>
      <c r="I15" s="5" t="s">
        <v>1813</v>
      </c>
      <c r="J15" s="6" t="s">
        <v>1814</v>
      </c>
      <c r="K15" s="5" t="s">
        <v>1502</v>
      </c>
    </row>
    <row r="16" spans="2:12" ht="42" customHeight="1" x14ac:dyDescent="0.25">
      <c r="B16" s="5" t="s">
        <v>458</v>
      </c>
      <c r="C16" s="5" t="s">
        <v>1815</v>
      </c>
      <c r="D16" s="5" t="s">
        <v>1816</v>
      </c>
      <c r="E16" s="5" t="s">
        <v>1817</v>
      </c>
      <c r="F16" s="6" t="s">
        <v>1818</v>
      </c>
      <c r="G16" s="6" t="s">
        <v>1803</v>
      </c>
      <c r="H16" s="5" t="s">
        <v>1819</v>
      </c>
      <c r="I16" s="5" t="s">
        <v>1820</v>
      </c>
      <c r="J16" s="6" t="s">
        <v>1821</v>
      </c>
      <c r="K16" s="5" t="s">
        <v>1502</v>
      </c>
    </row>
    <row r="17" spans="2:11" ht="42" customHeight="1" x14ac:dyDescent="0.25">
      <c r="B17" s="5" t="s">
        <v>458</v>
      </c>
      <c r="C17" s="5" t="s">
        <v>1822</v>
      </c>
      <c r="D17" s="5" t="s">
        <v>1823</v>
      </c>
      <c r="E17" s="5" t="s">
        <v>1824</v>
      </c>
      <c r="F17" s="6" t="s">
        <v>1825</v>
      </c>
      <c r="G17" s="6" t="s">
        <v>1826</v>
      </c>
      <c r="H17" s="5" t="s">
        <v>1827</v>
      </c>
      <c r="I17" s="5" t="s">
        <v>1828</v>
      </c>
      <c r="J17" s="6" t="s">
        <v>1829</v>
      </c>
      <c r="K17" s="5" t="s">
        <v>1502</v>
      </c>
    </row>
    <row r="18" spans="2:11" ht="42" customHeight="1" x14ac:dyDescent="0.25">
      <c r="B18" s="5" t="s">
        <v>493</v>
      </c>
      <c r="C18" s="5" t="s">
        <v>1830</v>
      </c>
      <c r="D18" s="5" t="s">
        <v>1831</v>
      </c>
      <c r="E18" s="5" t="s">
        <v>1832</v>
      </c>
      <c r="F18" s="6" t="s">
        <v>1833</v>
      </c>
      <c r="G18" s="6" t="s">
        <v>1834</v>
      </c>
      <c r="H18" s="5" t="s">
        <v>1835</v>
      </c>
      <c r="I18" s="5" t="s">
        <v>1836</v>
      </c>
      <c r="J18" s="6" t="s">
        <v>1837</v>
      </c>
      <c r="K18" s="5" t="s">
        <v>1481</v>
      </c>
    </row>
    <row r="19" spans="2:11" ht="42" customHeight="1" x14ac:dyDescent="0.25">
      <c r="B19" s="5" t="s">
        <v>1838</v>
      </c>
      <c r="C19" s="5" t="s">
        <v>1839</v>
      </c>
      <c r="D19" s="5" t="s">
        <v>1840</v>
      </c>
      <c r="E19" s="5" t="s">
        <v>1841</v>
      </c>
      <c r="F19" s="6" t="s">
        <v>1842</v>
      </c>
      <c r="G19" s="6" t="s">
        <v>1843</v>
      </c>
      <c r="H19" s="5" t="s">
        <v>1844</v>
      </c>
      <c r="I19" s="5" t="s">
        <v>1845</v>
      </c>
      <c r="J19" s="6" t="s">
        <v>1846</v>
      </c>
      <c r="K19" s="5" t="s">
        <v>1502</v>
      </c>
    </row>
    <row r="20" spans="2:11" ht="42" customHeight="1" x14ac:dyDescent="0.25">
      <c r="B20" s="5" t="s">
        <v>1847</v>
      </c>
      <c r="C20" s="5" t="s">
        <v>1848</v>
      </c>
      <c r="D20" s="5" t="s">
        <v>1849</v>
      </c>
      <c r="E20" s="5" t="s">
        <v>1850</v>
      </c>
      <c r="F20" s="5" t="s">
        <v>1851</v>
      </c>
      <c r="G20" s="5" t="s">
        <v>1852</v>
      </c>
      <c r="H20" s="5" t="s">
        <v>1853</v>
      </c>
      <c r="I20" s="5" t="s">
        <v>1854</v>
      </c>
      <c r="J20" s="5" t="s">
        <v>1855</v>
      </c>
      <c r="K20" s="5" t="s">
        <v>1481</v>
      </c>
    </row>
    <row r="21" spans="2:11" ht="42" customHeight="1" x14ac:dyDescent="0.25">
      <c r="B21" s="5" t="s">
        <v>1847</v>
      </c>
      <c r="C21" s="5" t="s">
        <v>1856</v>
      </c>
      <c r="D21" s="5" t="s">
        <v>1857</v>
      </c>
      <c r="E21" s="5" t="s">
        <v>1858</v>
      </c>
      <c r="F21" s="6" t="s">
        <v>1859</v>
      </c>
      <c r="G21" s="6" t="s">
        <v>1860</v>
      </c>
      <c r="H21" s="5" t="s">
        <v>1861</v>
      </c>
      <c r="I21" s="5" t="s">
        <v>1862</v>
      </c>
      <c r="J21" s="6" t="s">
        <v>1863</v>
      </c>
      <c r="K21" s="5" t="s">
        <v>1481</v>
      </c>
    </row>
    <row r="22" spans="2:11" ht="42" customHeight="1" x14ac:dyDescent="0.25">
      <c r="B22" s="5" t="s">
        <v>1847</v>
      </c>
      <c r="C22" s="5" t="s">
        <v>1864</v>
      </c>
      <c r="D22" s="5" t="s">
        <v>1865</v>
      </c>
      <c r="E22" s="5" t="s">
        <v>1866</v>
      </c>
      <c r="F22" s="6" t="s">
        <v>1867</v>
      </c>
      <c r="G22" s="6" t="s">
        <v>1868</v>
      </c>
      <c r="H22" s="5" t="s">
        <v>1869</v>
      </c>
      <c r="I22" s="5" t="s">
        <v>1870</v>
      </c>
      <c r="J22" s="6" t="s">
        <v>1871</v>
      </c>
      <c r="K22" s="5" t="s">
        <v>1481</v>
      </c>
    </row>
    <row r="23" spans="2:11" ht="42" customHeight="1" x14ac:dyDescent="0.25">
      <c r="B23" s="5" t="s">
        <v>1872</v>
      </c>
      <c r="C23" s="5" t="s">
        <v>1873</v>
      </c>
      <c r="D23" s="5" t="s">
        <v>1874</v>
      </c>
      <c r="E23" s="5" t="s">
        <v>1875</v>
      </c>
      <c r="F23" s="5" t="s">
        <v>1876</v>
      </c>
      <c r="G23" s="5" t="s">
        <v>1852</v>
      </c>
      <c r="H23" s="5" t="s">
        <v>1877</v>
      </c>
      <c r="I23" s="5" t="s">
        <v>1878</v>
      </c>
      <c r="J23" s="5" t="s">
        <v>1879</v>
      </c>
      <c r="K23" s="5" t="s">
        <v>1502</v>
      </c>
    </row>
    <row r="24" spans="2:11" ht="42" customHeight="1" x14ac:dyDescent="0.25">
      <c r="B24" s="5" t="s">
        <v>1872</v>
      </c>
      <c r="C24" s="5" t="s">
        <v>1880</v>
      </c>
      <c r="D24" s="5" t="s">
        <v>1881</v>
      </c>
      <c r="E24" s="5" t="s">
        <v>1882</v>
      </c>
      <c r="F24" s="6" t="s">
        <v>1883</v>
      </c>
      <c r="G24" s="6" t="s">
        <v>1884</v>
      </c>
      <c r="H24" s="5" t="s">
        <v>1885</v>
      </c>
      <c r="I24" s="5" t="s">
        <v>1845</v>
      </c>
      <c r="J24" s="6" t="s">
        <v>1886</v>
      </c>
      <c r="K24" s="5" t="s">
        <v>1502</v>
      </c>
    </row>
    <row r="25" spans="2:11" ht="42" customHeight="1" x14ac:dyDescent="0.25">
      <c r="B25" s="5" t="s">
        <v>1887</v>
      </c>
      <c r="C25" s="5" t="s">
        <v>1888</v>
      </c>
      <c r="D25" s="5" t="s">
        <v>1889</v>
      </c>
      <c r="E25" s="5" t="s">
        <v>1890</v>
      </c>
      <c r="F25" s="6" t="s">
        <v>1891</v>
      </c>
      <c r="G25" s="6" t="s">
        <v>1892</v>
      </c>
      <c r="H25" s="5" t="s">
        <v>1893</v>
      </c>
      <c r="I25" s="5" t="s">
        <v>1894</v>
      </c>
      <c r="J25" s="6" t="s">
        <v>1895</v>
      </c>
      <c r="K25" s="5" t="s">
        <v>1502</v>
      </c>
    </row>
    <row r="26" spans="2:11" ht="42" customHeight="1" x14ac:dyDescent="0.25">
      <c r="B26" s="5" t="s">
        <v>1887</v>
      </c>
      <c r="C26" s="5" t="s">
        <v>1896</v>
      </c>
      <c r="D26" s="5" t="s">
        <v>1897</v>
      </c>
      <c r="E26" s="5" t="s">
        <v>1898</v>
      </c>
      <c r="F26" s="5" t="s">
        <v>1899</v>
      </c>
      <c r="G26" s="5" t="s">
        <v>1900</v>
      </c>
      <c r="H26" s="5" t="s">
        <v>1901</v>
      </c>
      <c r="I26" s="5" t="s">
        <v>1902</v>
      </c>
      <c r="J26" s="5" t="s">
        <v>1903</v>
      </c>
      <c r="K26" s="5" t="s">
        <v>1502</v>
      </c>
    </row>
    <row r="27" spans="2:11" ht="42" customHeight="1" x14ac:dyDescent="0.25">
      <c r="B27" s="5" t="s">
        <v>1887</v>
      </c>
      <c r="C27" s="5" t="s">
        <v>1904</v>
      </c>
      <c r="D27" s="5" t="s">
        <v>1905</v>
      </c>
      <c r="E27" s="5" t="s">
        <v>1906</v>
      </c>
      <c r="F27" s="6" t="s">
        <v>1907</v>
      </c>
      <c r="G27" s="6" t="s">
        <v>1908</v>
      </c>
      <c r="H27" s="5" t="s">
        <v>1909</v>
      </c>
      <c r="I27" s="5" t="s">
        <v>1910</v>
      </c>
      <c r="J27" s="6" t="s">
        <v>1911</v>
      </c>
      <c r="K27" s="5" t="s">
        <v>1502</v>
      </c>
    </row>
    <row r="28" spans="2:11" ht="42" customHeight="1" x14ac:dyDescent="0.25">
      <c r="B28" s="5" t="s">
        <v>1912</v>
      </c>
      <c r="C28" s="5" t="s">
        <v>1913</v>
      </c>
      <c r="D28" s="5" t="s">
        <v>1914</v>
      </c>
      <c r="E28" s="5" t="s">
        <v>1915</v>
      </c>
      <c r="F28" s="6" t="s">
        <v>1916</v>
      </c>
      <c r="G28" s="6" t="s">
        <v>1917</v>
      </c>
      <c r="H28" s="5" t="s">
        <v>1918</v>
      </c>
      <c r="I28" s="5" t="s">
        <v>1919</v>
      </c>
      <c r="J28" s="6" t="s">
        <v>1920</v>
      </c>
      <c r="K28" s="5" t="s">
        <v>1502</v>
      </c>
    </row>
    <row r="29" spans="2:11" ht="42" customHeight="1" x14ac:dyDescent="0.25">
      <c r="B29" s="5" t="s">
        <v>1912</v>
      </c>
      <c r="C29" s="5" t="s">
        <v>1921</v>
      </c>
      <c r="D29" s="5" t="s">
        <v>1922</v>
      </c>
      <c r="E29" s="5" t="s">
        <v>1923</v>
      </c>
      <c r="F29" s="6" t="s">
        <v>1924</v>
      </c>
      <c r="G29" s="6" t="s">
        <v>1917</v>
      </c>
      <c r="H29" s="5" t="s">
        <v>1925</v>
      </c>
      <c r="I29" s="5" t="s">
        <v>1919</v>
      </c>
      <c r="J29" s="6" t="s">
        <v>1920</v>
      </c>
      <c r="K29" s="5" t="s">
        <v>1502</v>
      </c>
    </row>
    <row r="30" spans="2:11" ht="42" customHeight="1" x14ac:dyDescent="0.25">
      <c r="B30" s="5" t="s">
        <v>612</v>
      </c>
      <c r="C30" s="5" t="s">
        <v>1926</v>
      </c>
      <c r="D30" s="5" t="s">
        <v>1927</v>
      </c>
      <c r="E30" s="5" t="s">
        <v>1928</v>
      </c>
      <c r="F30" s="6" t="s">
        <v>1929</v>
      </c>
      <c r="G30" s="6" t="s">
        <v>1930</v>
      </c>
      <c r="H30" s="5" t="s">
        <v>1931</v>
      </c>
      <c r="I30" s="5" t="s">
        <v>1932</v>
      </c>
      <c r="J30" s="6" t="s">
        <v>1933</v>
      </c>
      <c r="K30" s="5" t="s">
        <v>1502</v>
      </c>
    </row>
    <row r="31" spans="2:11" ht="42" customHeight="1" x14ac:dyDescent="0.25">
      <c r="B31" s="5" t="s">
        <v>612</v>
      </c>
      <c r="C31" s="5" t="s">
        <v>1934</v>
      </c>
      <c r="D31" s="5" t="s">
        <v>1935</v>
      </c>
      <c r="E31" s="5" t="s">
        <v>1936</v>
      </c>
      <c r="F31" s="6" t="s">
        <v>1937</v>
      </c>
      <c r="G31" s="6" t="s">
        <v>1938</v>
      </c>
      <c r="H31" s="5" t="s">
        <v>1939</v>
      </c>
      <c r="I31" s="5" t="s">
        <v>1940</v>
      </c>
      <c r="J31" s="6" t="s">
        <v>1941</v>
      </c>
      <c r="K31" s="5" t="s">
        <v>1481</v>
      </c>
    </row>
    <row r="32" spans="2:11" ht="42" customHeight="1" x14ac:dyDescent="0.25">
      <c r="B32" s="5" t="s">
        <v>1942</v>
      </c>
      <c r="C32" s="5" t="s">
        <v>1943</v>
      </c>
      <c r="D32" s="5" t="s">
        <v>1944</v>
      </c>
      <c r="E32" s="5" t="s">
        <v>1945</v>
      </c>
      <c r="F32" s="6" t="s">
        <v>1946</v>
      </c>
      <c r="G32" s="6" t="s">
        <v>1947</v>
      </c>
      <c r="H32" s="5" t="s">
        <v>1948</v>
      </c>
      <c r="I32" s="5" t="s">
        <v>1949</v>
      </c>
      <c r="J32" s="6" t="s">
        <v>1950</v>
      </c>
      <c r="K32" s="5" t="s">
        <v>1502</v>
      </c>
    </row>
    <row r="33" spans="2:11" ht="42" customHeight="1" x14ac:dyDescent="0.25">
      <c r="B33" s="5" t="s">
        <v>241</v>
      </c>
      <c r="C33" s="5" t="s">
        <v>1951</v>
      </c>
      <c r="D33" s="5" t="s">
        <v>1952</v>
      </c>
      <c r="E33" s="5" t="s">
        <v>1953</v>
      </c>
      <c r="F33" s="5" t="s">
        <v>1954</v>
      </c>
      <c r="G33" s="5" t="s">
        <v>1955</v>
      </c>
      <c r="H33" s="5" t="s">
        <v>1956</v>
      </c>
      <c r="I33" s="5" t="s">
        <v>1957</v>
      </c>
      <c r="J33" s="5" t="s">
        <v>1958</v>
      </c>
      <c r="K33" s="5" t="s">
        <v>1471</v>
      </c>
    </row>
  </sheetData>
  <mergeCells count="1">
    <mergeCell ref="B1:G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6"/>
  <dimension ref="A1:X100"/>
  <sheetViews>
    <sheetView workbookViewId="0">
      <selection activeCell="Y6" sqref="Y6"/>
    </sheetView>
  </sheetViews>
  <sheetFormatPr baseColWidth="10" defaultColWidth="9.140625" defaultRowHeight="15" x14ac:dyDescent="0.25"/>
  <cols>
    <col min="1" max="1" width="10" style="3" customWidth="1"/>
    <col min="2" max="2" width="30" style="3" customWidth="1"/>
    <col min="3" max="4" width="26" style="3" customWidth="1"/>
    <col min="5" max="5" width="20" style="3" customWidth="1"/>
    <col min="6" max="6" width="40" style="3" customWidth="1"/>
    <col min="7" max="7" width="44" style="3" customWidth="1"/>
    <col min="8" max="8" width="38" style="3" customWidth="1"/>
    <col min="9" max="9" width="24" style="3" customWidth="1"/>
    <col min="10" max="10" width="22" style="3" customWidth="1"/>
    <col min="11" max="11" width="18" style="3" customWidth="1"/>
    <col min="12" max="12" width="24" style="3" customWidth="1"/>
    <col min="13" max="13" width="36" style="3" customWidth="1"/>
    <col min="14" max="14" width="38.5703125" style="3" customWidth="1"/>
    <col min="15" max="15" width="32" style="3" customWidth="1"/>
    <col min="16" max="16" width="62" style="3" customWidth="1"/>
    <col min="17" max="18" width="36" style="3" customWidth="1"/>
    <col min="19" max="19" width="34" style="3" customWidth="1"/>
    <col min="20" max="20" width="38" style="3" customWidth="1"/>
    <col min="21" max="21" width="36" style="3" customWidth="1"/>
    <col min="22" max="23" width="44" style="3" customWidth="1"/>
    <col min="24" max="16384" width="9.140625" style="3"/>
  </cols>
  <sheetData>
    <row r="1" spans="1:24" ht="48" customHeight="1" x14ac:dyDescent="0.25">
      <c r="A1" s="1" t="s">
        <v>0</v>
      </c>
      <c r="B1" s="1" t="s">
        <v>1</v>
      </c>
      <c r="C1" s="1" t="s">
        <v>2</v>
      </c>
      <c r="D1" s="1" t="s">
        <v>3</v>
      </c>
      <c r="E1" s="275"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98" t="s">
        <v>2829</v>
      </c>
    </row>
    <row r="2" spans="1:24" ht="66" customHeight="1" x14ac:dyDescent="0.25">
      <c r="A2" s="3" t="s">
        <v>23</v>
      </c>
      <c r="B2" s="2" t="s">
        <v>24</v>
      </c>
      <c r="C2" s="14" t="s">
        <v>25</v>
      </c>
      <c r="D2" s="14" t="s">
        <v>26</v>
      </c>
      <c r="E2" s="14" t="s">
        <v>27</v>
      </c>
      <c r="F2" s="2" t="s">
        <v>28</v>
      </c>
      <c r="G2" s="2" t="s">
        <v>29</v>
      </c>
      <c r="H2" s="2" t="s">
        <v>30</v>
      </c>
      <c r="I2" s="14" t="s">
        <v>31</v>
      </c>
      <c r="J2" s="14" t="s">
        <v>32</v>
      </c>
      <c r="K2" s="14" t="s">
        <v>33</v>
      </c>
      <c r="L2" s="14" t="s">
        <v>34</v>
      </c>
      <c r="M2" s="2" t="s">
        <v>35</v>
      </c>
      <c r="N2" s="2" t="s">
        <v>36</v>
      </c>
      <c r="O2" s="2" t="s">
        <v>37</v>
      </c>
      <c r="P2" s="30" t="s">
        <v>38</v>
      </c>
      <c r="Q2" s="2" t="s">
        <v>39</v>
      </c>
      <c r="R2" s="2" t="s">
        <v>40</v>
      </c>
      <c r="S2" s="2" t="s">
        <v>41</v>
      </c>
      <c r="T2" s="2" t="s">
        <v>42</v>
      </c>
      <c r="U2" s="2" t="s">
        <v>43</v>
      </c>
      <c r="V2" s="2" t="s">
        <v>44</v>
      </c>
      <c r="W2" s="2" t="s">
        <v>45</v>
      </c>
      <c r="X2" s="768" t="s">
        <v>4701</v>
      </c>
    </row>
    <row r="3" spans="1:24" ht="66" customHeight="1" x14ac:dyDescent="0.25">
      <c r="A3" s="3" t="s">
        <v>46</v>
      </c>
      <c r="B3" s="2" t="s">
        <v>24</v>
      </c>
      <c r="C3" s="14" t="s">
        <v>47</v>
      </c>
      <c r="D3" s="14" t="s">
        <v>48</v>
      </c>
      <c r="E3" s="14" t="s">
        <v>27</v>
      </c>
      <c r="F3" s="2" t="s">
        <v>49</v>
      </c>
      <c r="G3" s="2" t="s">
        <v>50</v>
      </c>
      <c r="H3" s="2" t="s">
        <v>51</v>
      </c>
      <c r="I3" s="14" t="s">
        <v>52</v>
      </c>
      <c r="J3" s="14" t="s">
        <v>53</v>
      </c>
      <c r="K3" s="14" t="s">
        <v>33</v>
      </c>
      <c r="L3" s="14" t="s">
        <v>54</v>
      </c>
      <c r="M3" s="2" t="s">
        <v>55</v>
      </c>
      <c r="N3" s="2" t="s">
        <v>56</v>
      </c>
      <c r="O3" s="2" t="s">
        <v>57</v>
      </c>
      <c r="P3" s="2" t="s">
        <v>38</v>
      </c>
      <c r="Q3" s="2" t="s">
        <v>58</v>
      </c>
      <c r="R3" s="2" t="s">
        <v>59</v>
      </c>
      <c r="S3" s="2" t="s">
        <v>60</v>
      </c>
      <c r="T3" s="2" t="s">
        <v>61</v>
      </c>
      <c r="U3" s="2" t="s">
        <v>62</v>
      </c>
      <c r="V3" s="2" t="s">
        <v>63</v>
      </c>
      <c r="W3" s="2" t="s">
        <v>64</v>
      </c>
    </row>
    <row r="4" spans="1:24" ht="66" customHeight="1" x14ac:dyDescent="0.25">
      <c r="A4" s="3" t="s">
        <v>65</v>
      </c>
      <c r="B4" s="2" t="s">
        <v>24</v>
      </c>
      <c r="C4" s="14" t="s">
        <v>66</v>
      </c>
      <c r="D4" s="14" t="s">
        <v>67</v>
      </c>
      <c r="E4" s="14" t="s">
        <v>27</v>
      </c>
      <c r="F4" s="2" t="s">
        <v>68</v>
      </c>
      <c r="G4" s="2" t="s">
        <v>69</v>
      </c>
      <c r="H4" s="2" t="s">
        <v>70</v>
      </c>
      <c r="I4" s="14" t="s">
        <v>71</v>
      </c>
      <c r="J4" s="14" t="s">
        <v>72</v>
      </c>
      <c r="K4" s="14" t="s">
        <v>33</v>
      </c>
      <c r="L4" s="14" t="s">
        <v>34</v>
      </c>
      <c r="M4" s="2" t="s">
        <v>73</v>
      </c>
      <c r="N4" s="2" t="s">
        <v>74</v>
      </c>
      <c r="O4" s="2" t="s">
        <v>75</v>
      </c>
      <c r="P4" s="2" t="s">
        <v>76</v>
      </c>
      <c r="Q4" s="2" t="s">
        <v>77</v>
      </c>
      <c r="R4" s="2" t="s">
        <v>78</v>
      </c>
      <c r="S4" s="2" t="s">
        <v>79</v>
      </c>
      <c r="T4" s="2" t="s">
        <v>80</v>
      </c>
      <c r="U4" s="2" t="s">
        <v>81</v>
      </c>
      <c r="V4" s="2" t="s">
        <v>82</v>
      </c>
      <c r="W4" s="2" t="s">
        <v>83</v>
      </c>
    </row>
    <row r="5" spans="1:24" ht="66" customHeight="1" x14ac:dyDescent="0.25">
      <c r="A5" s="3" t="s">
        <v>84</v>
      </c>
      <c r="B5" s="2" t="s">
        <v>24</v>
      </c>
      <c r="C5" s="14" t="s">
        <v>85</v>
      </c>
      <c r="D5" s="14" t="s">
        <v>86</v>
      </c>
      <c r="E5" s="14" t="s">
        <v>87</v>
      </c>
      <c r="F5" s="2" t="s">
        <v>88</v>
      </c>
      <c r="G5" s="2" t="s">
        <v>89</v>
      </c>
      <c r="H5" s="2" t="s">
        <v>90</v>
      </c>
      <c r="I5" s="14" t="s">
        <v>31</v>
      </c>
      <c r="J5" s="14" t="s">
        <v>91</v>
      </c>
      <c r="K5" s="14" t="s">
        <v>92</v>
      </c>
      <c r="L5" s="14" t="s">
        <v>93</v>
      </c>
      <c r="M5" s="2" t="s">
        <v>94</v>
      </c>
      <c r="N5" s="2" t="s">
        <v>95</v>
      </c>
      <c r="O5" s="2" t="s">
        <v>96</v>
      </c>
      <c r="P5" s="2" t="s">
        <v>76</v>
      </c>
      <c r="Q5" s="2" t="s">
        <v>97</v>
      </c>
      <c r="R5" s="2" t="s">
        <v>98</v>
      </c>
      <c r="S5" s="2" t="s">
        <v>99</v>
      </c>
      <c r="T5" s="2" t="s">
        <v>100</v>
      </c>
      <c r="U5" s="2" t="s">
        <v>101</v>
      </c>
      <c r="V5" s="2" t="s">
        <v>102</v>
      </c>
      <c r="W5" s="2" t="s">
        <v>103</v>
      </c>
    </row>
    <row r="6" spans="1:24" ht="66" customHeight="1" x14ac:dyDescent="0.25">
      <c r="A6" s="3" t="s">
        <v>104</v>
      </c>
      <c r="B6" s="2" t="s">
        <v>24</v>
      </c>
      <c r="C6" s="14" t="s">
        <v>105</v>
      </c>
      <c r="D6" s="14" t="s">
        <v>106</v>
      </c>
      <c r="E6" s="14" t="s">
        <v>107</v>
      </c>
      <c r="F6" s="2" t="s">
        <v>108</v>
      </c>
      <c r="G6" s="2" t="s">
        <v>109</v>
      </c>
      <c r="H6" s="2" t="s">
        <v>110</v>
      </c>
      <c r="I6" s="14" t="s">
        <v>111</v>
      </c>
      <c r="J6" s="14" t="s">
        <v>112</v>
      </c>
      <c r="K6" s="14" t="s">
        <v>92</v>
      </c>
      <c r="L6" s="14" t="s">
        <v>113</v>
      </c>
      <c r="M6" s="2" t="s">
        <v>114</v>
      </c>
      <c r="N6" s="2" t="s">
        <v>115</v>
      </c>
      <c r="O6" s="2" t="s">
        <v>116</v>
      </c>
      <c r="P6" s="2" t="s">
        <v>117</v>
      </c>
      <c r="Q6" s="2" t="s">
        <v>118</v>
      </c>
      <c r="R6" s="2" t="s">
        <v>119</v>
      </c>
      <c r="S6" s="2" t="s">
        <v>120</v>
      </c>
      <c r="T6" s="2" t="s">
        <v>121</v>
      </c>
      <c r="U6" s="2" t="s">
        <v>122</v>
      </c>
      <c r="V6" s="2" t="s">
        <v>123</v>
      </c>
      <c r="W6" s="2" t="s">
        <v>124</v>
      </c>
    </row>
    <row r="7" spans="1:24" ht="66" customHeight="1" x14ac:dyDescent="0.25">
      <c r="A7" s="3" t="s">
        <v>125</v>
      </c>
      <c r="B7" s="2" t="s">
        <v>24</v>
      </c>
      <c r="C7" s="14" t="s">
        <v>126</v>
      </c>
      <c r="D7" s="14" t="s">
        <v>127</v>
      </c>
      <c r="E7" s="14" t="s">
        <v>128</v>
      </c>
      <c r="F7" s="2" t="s">
        <v>129</v>
      </c>
      <c r="G7" s="2" t="s">
        <v>130</v>
      </c>
      <c r="H7" s="2" t="s">
        <v>131</v>
      </c>
      <c r="I7" s="14" t="s">
        <v>52</v>
      </c>
      <c r="J7" s="14" t="s">
        <v>132</v>
      </c>
      <c r="K7" s="14" t="s">
        <v>92</v>
      </c>
      <c r="L7" s="14" t="s">
        <v>113</v>
      </c>
      <c r="M7" s="2" t="s">
        <v>133</v>
      </c>
      <c r="N7" s="2" t="s">
        <v>134</v>
      </c>
      <c r="O7" s="2" t="s">
        <v>135</v>
      </c>
      <c r="P7" s="2" t="s">
        <v>38</v>
      </c>
      <c r="Q7" s="2" t="s">
        <v>136</v>
      </c>
      <c r="R7" s="2" t="s">
        <v>137</v>
      </c>
      <c r="S7" s="2" t="s">
        <v>138</v>
      </c>
      <c r="T7" s="2" t="s">
        <v>139</v>
      </c>
      <c r="U7" s="2" t="s">
        <v>140</v>
      </c>
      <c r="V7" s="2" t="s">
        <v>141</v>
      </c>
      <c r="W7" s="2" t="s">
        <v>142</v>
      </c>
    </row>
    <row r="8" spans="1:24" ht="66" customHeight="1" x14ac:dyDescent="0.25">
      <c r="A8" s="3" t="s">
        <v>143</v>
      </c>
      <c r="B8" s="2" t="s">
        <v>24</v>
      </c>
      <c r="C8" s="14" t="s">
        <v>144</v>
      </c>
      <c r="D8" s="14" t="s">
        <v>145</v>
      </c>
      <c r="E8" s="14" t="s">
        <v>146</v>
      </c>
      <c r="F8" s="2" t="s">
        <v>147</v>
      </c>
      <c r="G8" s="2" t="s">
        <v>148</v>
      </c>
      <c r="H8" s="2" t="s">
        <v>149</v>
      </c>
      <c r="I8" s="14" t="s">
        <v>31</v>
      </c>
      <c r="J8" s="14" t="s">
        <v>150</v>
      </c>
      <c r="K8" s="14" t="s">
        <v>92</v>
      </c>
      <c r="L8" s="14" t="s">
        <v>54</v>
      </c>
      <c r="M8" s="2" t="s">
        <v>151</v>
      </c>
      <c r="N8" s="2" t="s">
        <v>152</v>
      </c>
      <c r="O8" s="2" t="s">
        <v>153</v>
      </c>
      <c r="P8" s="2" t="s">
        <v>154</v>
      </c>
      <c r="Q8" s="2" t="s">
        <v>155</v>
      </c>
      <c r="R8" s="2" t="s">
        <v>156</v>
      </c>
      <c r="S8" s="2" t="s">
        <v>157</v>
      </c>
      <c r="T8" s="2" t="s">
        <v>158</v>
      </c>
      <c r="U8" s="2" t="s">
        <v>159</v>
      </c>
      <c r="V8" s="2" t="s">
        <v>160</v>
      </c>
      <c r="W8" s="2" t="s">
        <v>161</v>
      </c>
    </row>
    <row r="9" spans="1:24" ht="66" customHeight="1" x14ac:dyDescent="0.25">
      <c r="A9" s="3" t="s">
        <v>162</v>
      </c>
      <c r="B9" s="2" t="s">
        <v>24</v>
      </c>
      <c r="C9" s="14" t="s">
        <v>163</v>
      </c>
      <c r="D9" s="14" t="s">
        <v>164</v>
      </c>
      <c r="E9" s="14" t="s">
        <v>165</v>
      </c>
      <c r="F9" s="2" t="s">
        <v>166</v>
      </c>
      <c r="G9" s="2" t="s">
        <v>167</v>
      </c>
      <c r="H9" s="2" t="s">
        <v>168</v>
      </c>
      <c r="I9" s="14" t="s">
        <v>31</v>
      </c>
      <c r="J9" s="14" t="s">
        <v>169</v>
      </c>
      <c r="K9" s="14" t="s">
        <v>170</v>
      </c>
      <c r="L9" s="14" t="s">
        <v>34</v>
      </c>
      <c r="M9" s="2" t="s">
        <v>171</v>
      </c>
      <c r="N9" s="2" t="s">
        <v>172</v>
      </c>
      <c r="O9" s="2" t="s">
        <v>173</v>
      </c>
      <c r="P9" s="2" t="s">
        <v>174</v>
      </c>
      <c r="Q9" s="2" t="s">
        <v>175</v>
      </c>
      <c r="R9" s="2" t="s">
        <v>176</v>
      </c>
      <c r="S9" s="2" t="s">
        <v>177</v>
      </c>
      <c r="T9" s="2" t="s">
        <v>178</v>
      </c>
      <c r="U9" s="2" t="s">
        <v>179</v>
      </c>
      <c r="V9" s="2" t="s">
        <v>180</v>
      </c>
      <c r="W9" s="2" t="s">
        <v>181</v>
      </c>
    </row>
    <row r="10" spans="1:24" ht="66" customHeight="1" x14ac:dyDescent="0.25">
      <c r="A10" s="3" t="s">
        <v>182</v>
      </c>
      <c r="B10" s="2" t="s">
        <v>183</v>
      </c>
      <c r="C10" s="14" t="s">
        <v>184</v>
      </c>
      <c r="D10" s="14" t="s">
        <v>185</v>
      </c>
      <c r="E10" s="14" t="s">
        <v>186</v>
      </c>
      <c r="F10" s="2" t="s">
        <v>187</v>
      </c>
      <c r="G10" s="2" t="s">
        <v>188</v>
      </c>
      <c r="H10" s="2" t="s">
        <v>189</v>
      </c>
      <c r="I10" s="14" t="s">
        <v>31</v>
      </c>
      <c r="J10" s="14" t="s">
        <v>91</v>
      </c>
      <c r="K10" s="14" t="s">
        <v>33</v>
      </c>
      <c r="L10" s="14" t="s">
        <v>34</v>
      </c>
      <c r="M10" s="2" t="s">
        <v>190</v>
      </c>
      <c r="N10" s="2" t="s">
        <v>191</v>
      </c>
      <c r="O10" s="2" t="s">
        <v>192</v>
      </c>
      <c r="P10" s="2" t="s">
        <v>38</v>
      </c>
      <c r="Q10" s="2" t="s">
        <v>193</v>
      </c>
      <c r="R10" s="2" t="s">
        <v>194</v>
      </c>
      <c r="S10" s="2" t="s">
        <v>195</v>
      </c>
      <c r="T10" s="2" t="s">
        <v>196</v>
      </c>
      <c r="U10" s="2" t="s">
        <v>197</v>
      </c>
      <c r="V10" s="2" t="s">
        <v>198</v>
      </c>
      <c r="W10" s="2" t="s">
        <v>199</v>
      </c>
    </row>
    <row r="11" spans="1:24" ht="66" customHeight="1" x14ac:dyDescent="0.25">
      <c r="A11" s="3" t="s">
        <v>200</v>
      </c>
      <c r="B11" s="2" t="s">
        <v>183</v>
      </c>
      <c r="C11" s="14" t="s">
        <v>201</v>
      </c>
      <c r="D11" s="14" t="s">
        <v>202</v>
      </c>
      <c r="E11" s="14" t="s">
        <v>186</v>
      </c>
      <c r="F11" s="2" t="s">
        <v>203</v>
      </c>
      <c r="G11" s="2" t="s">
        <v>204</v>
      </c>
      <c r="H11" s="2" t="s">
        <v>205</v>
      </c>
      <c r="I11" s="14" t="s">
        <v>31</v>
      </c>
      <c r="J11" s="14" t="s">
        <v>206</v>
      </c>
      <c r="K11" s="14" t="s">
        <v>33</v>
      </c>
      <c r="L11" s="14" t="s">
        <v>34</v>
      </c>
      <c r="M11" s="2" t="s">
        <v>207</v>
      </c>
      <c r="N11" s="2" t="s">
        <v>208</v>
      </c>
      <c r="O11" s="2" t="s">
        <v>209</v>
      </c>
      <c r="P11" s="2" t="s">
        <v>154</v>
      </c>
      <c r="Q11" s="2" t="s">
        <v>210</v>
      </c>
      <c r="R11" s="2" t="s">
        <v>211</v>
      </c>
      <c r="S11" s="2" t="s">
        <v>212</v>
      </c>
      <c r="T11" s="2" t="s">
        <v>213</v>
      </c>
      <c r="U11" s="2" t="s">
        <v>214</v>
      </c>
      <c r="V11" s="2" t="s">
        <v>215</v>
      </c>
      <c r="W11" s="2" t="s">
        <v>216</v>
      </c>
    </row>
    <row r="12" spans="1:24" ht="66" customHeight="1" x14ac:dyDescent="0.25">
      <c r="A12" s="3" t="s">
        <v>217</v>
      </c>
      <c r="B12" s="2" t="s">
        <v>183</v>
      </c>
      <c r="C12" s="14" t="s">
        <v>218</v>
      </c>
      <c r="D12" s="14" t="s">
        <v>219</v>
      </c>
      <c r="E12" s="14" t="s">
        <v>186</v>
      </c>
      <c r="F12" s="2" t="s">
        <v>220</v>
      </c>
      <c r="G12" s="2" t="s">
        <v>221</v>
      </c>
      <c r="H12" s="2" t="s">
        <v>222</v>
      </c>
      <c r="I12" s="14" t="s">
        <v>223</v>
      </c>
      <c r="J12" s="14" t="s">
        <v>53</v>
      </c>
      <c r="K12" s="14" t="s">
        <v>92</v>
      </c>
      <c r="L12" s="14" t="s">
        <v>113</v>
      </c>
      <c r="M12" s="2" t="s">
        <v>224</v>
      </c>
      <c r="N12" s="2" t="s">
        <v>225</v>
      </c>
      <c r="O12" s="2" t="s">
        <v>226</v>
      </c>
      <c r="P12" s="2" t="s">
        <v>227</v>
      </c>
      <c r="Q12" s="2" t="s">
        <v>228</v>
      </c>
      <c r="R12" s="2" t="s">
        <v>229</v>
      </c>
      <c r="S12" s="2" t="s">
        <v>230</v>
      </c>
      <c r="T12" s="2" t="s">
        <v>231</v>
      </c>
      <c r="U12" s="2" t="s">
        <v>232</v>
      </c>
      <c r="V12" s="2" t="s">
        <v>233</v>
      </c>
      <c r="W12" s="2" t="s">
        <v>234</v>
      </c>
    </row>
    <row r="13" spans="1:24" ht="66" customHeight="1" x14ac:dyDescent="0.25">
      <c r="A13" s="3" t="s">
        <v>235</v>
      </c>
      <c r="B13" s="2" t="s">
        <v>183</v>
      </c>
      <c r="C13" s="14" t="s">
        <v>236</v>
      </c>
      <c r="D13" s="14" t="s">
        <v>237</v>
      </c>
      <c r="E13" s="14" t="s">
        <v>186</v>
      </c>
      <c r="F13" s="2" t="s">
        <v>238</v>
      </c>
      <c r="G13" s="2" t="s">
        <v>239</v>
      </c>
      <c r="H13" s="2" t="s">
        <v>240</v>
      </c>
      <c r="I13" s="14" t="s">
        <v>241</v>
      </c>
      <c r="J13" s="14" t="s">
        <v>53</v>
      </c>
      <c r="K13" s="14" t="s">
        <v>92</v>
      </c>
      <c r="L13" s="14" t="s">
        <v>54</v>
      </c>
      <c r="M13" s="2" t="s">
        <v>242</v>
      </c>
      <c r="N13" s="2" t="s">
        <v>243</v>
      </c>
      <c r="O13" s="2" t="s">
        <v>244</v>
      </c>
      <c r="P13" s="2" t="s">
        <v>245</v>
      </c>
      <c r="Q13" s="2" t="s">
        <v>246</v>
      </c>
      <c r="R13" s="2" t="s">
        <v>247</v>
      </c>
      <c r="S13" s="2" t="s">
        <v>248</v>
      </c>
      <c r="T13" s="2" t="s">
        <v>249</v>
      </c>
      <c r="U13" s="2" t="s">
        <v>250</v>
      </c>
      <c r="V13" s="2" t="s">
        <v>251</v>
      </c>
      <c r="W13" s="2" t="s">
        <v>252</v>
      </c>
    </row>
    <row r="14" spans="1:24" ht="66" customHeight="1" x14ac:dyDescent="0.25">
      <c r="A14" s="3" t="s">
        <v>253</v>
      </c>
      <c r="B14" s="2" t="s">
        <v>183</v>
      </c>
      <c r="C14" s="14" t="s">
        <v>254</v>
      </c>
      <c r="D14" s="14" t="s">
        <v>255</v>
      </c>
      <c r="E14" s="14" t="s">
        <v>256</v>
      </c>
      <c r="F14" s="2" t="s">
        <v>257</v>
      </c>
      <c r="G14" s="2" t="s">
        <v>258</v>
      </c>
      <c r="H14" s="2" t="s">
        <v>259</v>
      </c>
      <c r="I14" s="14" t="s">
        <v>31</v>
      </c>
      <c r="J14" s="14" t="s">
        <v>260</v>
      </c>
      <c r="K14" s="14" t="s">
        <v>92</v>
      </c>
      <c r="L14" s="14" t="s">
        <v>54</v>
      </c>
      <c r="M14" s="2" t="s">
        <v>261</v>
      </c>
      <c r="N14" s="2" t="s">
        <v>262</v>
      </c>
      <c r="O14" s="2" t="s">
        <v>263</v>
      </c>
      <c r="P14" s="2" t="s">
        <v>264</v>
      </c>
      <c r="Q14" s="2" t="s">
        <v>265</v>
      </c>
      <c r="R14" s="2" t="s">
        <v>266</v>
      </c>
      <c r="S14" s="2" t="s">
        <v>267</v>
      </c>
      <c r="T14" s="2" t="s">
        <v>268</v>
      </c>
      <c r="U14" s="2" t="s">
        <v>269</v>
      </c>
      <c r="V14" s="2" t="s">
        <v>270</v>
      </c>
      <c r="W14" s="2" t="s">
        <v>271</v>
      </c>
    </row>
    <row r="15" spans="1:24" ht="66" customHeight="1" x14ac:dyDescent="0.25">
      <c r="A15" s="3" t="s">
        <v>272</v>
      </c>
      <c r="B15" s="2" t="s">
        <v>183</v>
      </c>
      <c r="C15" s="14" t="s">
        <v>273</v>
      </c>
      <c r="D15" s="14" t="s">
        <v>274</v>
      </c>
      <c r="E15" s="14" t="s">
        <v>275</v>
      </c>
      <c r="F15" s="2" t="s">
        <v>276</v>
      </c>
      <c r="G15" s="2" t="s">
        <v>277</v>
      </c>
      <c r="H15" s="2" t="s">
        <v>278</v>
      </c>
      <c r="I15" s="14" t="s">
        <v>31</v>
      </c>
      <c r="J15" s="14" t="s">
        <v>279</v>
      </c>
      <c r="K15" s="14" t="s">
        <v>92</v>
      </c>
      <c r="L15" s="14" t="s">
        <v>54</v>
      </c>
      <c r="M15" s="2" t="s">
        <v>280</v>
      </c>
      <c r="N15" s="2" t="s">
        <v>281</v>
      </c>
      <c r="O15" s="2" t="s">
        <v>282</v>
      </c>
      <c r="P15" s="2" t="s">
        <v>227</v>
      </c>
      <c r="Q15" s="2" t="s">
        <v>283</v>
      </c>
      <c r="R15" s="2" t="s">
        <v>284</v>
      </c>
      <c r="S15" s="2" t="s">
        <v>285</v>
      </c>
      <c r="T15" s="2" t="s">
        <v>286</v>
      </c>
      <c r="U15" s="2" t="s">
        <v>287</v>
      </c>
      <c r="V15" s="2" t="s">
        <v>288</v>
      </c>
      <c r="W15" s="2" t="s">
        <v>289</v>
      </c>
    </row>
    <row r="16" spans="1:24" ht="66" customHeight="1" x14ac:dyDescent="0.25">
      <c r="A16" s="3" t="s">
        <v>290</v>
      </c>
      <c r="B16" s="2" t="s">
        <v>183</v>
      </c>
      <c r="C16" s="14" t="s">
        <v>291</v>
      </c>
      <c r="D16" s="14" t="s">
        <v>292</v>
      </c>
      <c r="E16" s="14" t="s">
        <v>128</v>
      </c>
      <c r="F16" s="2" t="s">
        <v>293</v>
      </c>
      <c r="G16" s="2" t="s">
        <v>294</v>
      </c>
      <c r="H16" s="2" t="s">
        <v>295</v>
      </c>
      <c r="I16" s="14" t="s">
        <v>241</v>
      </c>
      <c r="J16" s="14" t="s">
        <v>296</v>
      </c>
      <c r="K16" s="14" t="s">
        <v>92</v>
      </c>
      <c r="L16" s="14" t="s">
        <v>54</v>
      </c>
      <c r="M16" s="2" t="s">
        <v>297</v>
      </c>
      <c r="N16" s="2" t="s">
        <v>298</v>
      </c>
      <c r="O16" s="2" t="s">
        <v>299</v>
      </c>
      <c r="P16" s="2" t="s">
        <v>154</v>
      </c>
      <c r="Q16" s="2" t="s">
        <v>300</v>
      </c>
      <c r="R16" s="2" t="s">
        <v>301</v>
      </c>
      <c r="S16" s="2" t="s">
        <v>302</v>
      </c>
      <c r="T16" s="2" t="s">
        <v>303</v>
      </c>
      <c r="U16" s="2" t="s">
        <v>304</v>
      </c>
      <c r="V16" s="2" t="s">
        <v>305</v>
      </c>
      <c r="W16" s="2" t="s">
        <v>306</v>
      </c>
    </row>
    <row r="17" spans="1:23" ht="66" customHeight="1" x14ac:dyDescent="0.25">
      <c r="A17" s="3" t="s">
        <v>307</v>
      </c>
      <c r="B17" s="2" t="s">
        <v>183</v>
      </c>
      <c r="C17" s="14" t="s">
        <v>308</v>
      </c>
      <c r="D17" s="14" t="s">
        <v>309</v>
      </c>
      <c r="E17" s="14" t="s">
        <v>310</v>
      </c>
      <c r="F17" s="2" t="s">
        <v>311</v>
      </c>
      <c r="G17" s="2" t="s">
        <v>312</v>
      </c>
      <c r="H17" s="2" t="s">
        <v>313</v>
      </c>
      <c r="I17" s="14" t="s">
        <v>111</v>
      </c>
      <c r="J17" s="14" t="s">
        <v>314</v>
      </c>
      <c r="K17" s="14" t="s">
        <v>170</v>
      </c>
      <c r="L17" s="14" t="s">
        <v>113</v>
      </c>
      <c r="M17" s="2" t="s">
        <v>315</v>
      </c>
      <c r="N17" s="2" t="s">
        <v>316</v>
      </c>
      <c r="O17" s="2" t="s">
        <v>317</v>
      </c>
      <c r="P17" s="2" t="s">
        <v>264</v>
      </c>
      <c r="Q17" s="2" t="s">
        <v>318</v>
      </c>
      <c r="R17" s="2" t="s">
        <v>319</v>
      </c>
      <c r="S17" s="2" t="s">
        <v>320</v>
      </c>
      <c r="T17" s="2" t="s">
        <v>321</v>
      </c>
      <c r="U17" s="2" t="s">
        <v>322</v>
      </c>
      <c r="V17" s="2" t="s">
        <v>323</v>
      </c>
      <c r="W17" s="2" t="s">
        <v>324</v>
      </c>
    </row>
    <row r="18" spans="1:23" ht="66" customHeight="1" x14ac:dyDescent="0.25">
      <c r="A18" s="3" t="s">
        <v>325</v>
      </c>
      <c r="B18" s="2" t="s">
        <v>183</v>
      </c>
      <c r="C18" s="14" t="s">
        <v>326</v>
      </c>
      <c r="D18" s="14" t="s">
        <v>327</v>
      </c>
      <c r="E18" s="14" t="s">
        <v>328</v>
      </c>
      <c r="F18" s="2" t="s">
        <v>329</v>
      </c>
      <c r="G18" s="2" t="s">
        <v>330</v>
      </c>
      <c r="H18" s="2" t="s">
        <v>331</v>
      </c>
      <c r="I18" s="14" t="s">
        <v>31</v>
      </c>
      <c r="J18" s="14" t="s">
        <v>332</v>
      </c>
      <c r="K18" s="14" t="s">
        <v>170</v>
      </c>
      <c r="L18" s="14" t="s">
        <v>113</v>
      </c>
      <c r="M18" s="2" t="s">
        <v>333</v>
      </c>
      <c r="N18" s="2" t="s">
        <v>334</v>
      </c>
      <c r="O18" s="2" t="s">
        <v>335</v>
      </c>
      <c r="P18" s="2" t="s">
        <v>336</v>
      </c>
      <c r="Q18" s="2" t="s">
        <v>337</v>
      </c>
      <c r="R18" s="2" t="s">
        <v>338</v>
      </c>
      <c r="S18" s="2" t="s">
        <v>339</v>
      </c>
      <c r="T18" s="2" t="s">
        <v>340</v>
      </c>
      <c r="U18" s="2" t="s">
        <v>341</v>
      </c>
      <c r="V18" s="2" t="s">
        <v>342</v>
      </c>
      <c r="W18" s="2" t="s">
        <v>343</v>
      </c>
    </row>
    <row r="19" spans="1:23" ht="66" customHeight="1" x14ac:dyDescent="0.25">
      <c r="A19" s="3" t="s">
        <v>344</v>
      </c>
      <c r="B19" s="2" t="s">
        <v>183</v>
      </c>
      <c r="C19" s="14" t="s">
        <v>345</v>
      </c>
      <c r="D19" s="14" t="s">
        <v>346</v>
      </c>
      <c r="E19" s="14" t="s">
        <v>347</v>
      </c>
      <c r="F19" s="2" t="s">
        <v>348</v>
      </c>
      <c r="G19" s="2" t="s">
        <v>349</v>
      </c>
      <c r="H19" s="2" t="s">
        <v>350</v>
      </c>
      <c r="I19" s="14" t="s">
        <v>351</v>
      </c>
      <c r="J19" s="14" t="s">
        <v>53</v>
      </c>
      <c r="K19" s="14" t="s">
        <v>33</v>
      </c>
      <c r="L19" s="14" t="s">
        <v>54</v>
      </c>
      <c r="M19" s="2" t="s">
        <v>352</v>
      </c>
      <c r="N19" s="2" t="s">
        <v>353</v>
      </c>
      <c r="O19" s="2" t="s">
        <v>354</v>
      </c>
      <c r="P19" s="2" t="s">
        <v>355</v>
      </c>
      <c r="Q19" s="2" t="s">
        <v>356</v>
      </c>
      <c r="R19" s="2" t="s">
        <v>357</v>
      </c>
      <c r="S19" s="2" t="s">
        <v>358</v>
      </c>
      <c r="T19" s="2" t="s">
        <v>359</v>
      </c>
      <c r="U19" s="2" t="s">
        <v>360</v>
      </c>
      <c r="V19" s="2" t="s">
        <v>361</v>
      </c>
      <c r="W19" s="2" t="s">
        <v>362</v>
      </c>
    </row>
    <row r="20" spans="1:23" ht="66" customHeight="1" x14ac:dyDescent="0.25">
      <c r="A20" s="3" t="s">
        <v>363</v>
      </c>
      <c r="B20" s="2" t="s">
        <v>364</v>
      </c>
      <c r="C20" s="14" t="s">
        <v>365</v>
      </c>
      <c r="D20" s="14" t="s">
        <v>366</v>
      </c>
      <c r="E20" s="14" t="s">
        <v>367</v>
      </c>
      <c r="F20" s="2" t="s">
        <v>368</v>
      </c>
      <c r="G20" s="2" t="s">
        <v>369</v>
      </c>
      <c r="H20" s="2" t="s">
        <v>370</v>
      </c>
      <c r="I20" s="14" t="s">
        <v>371</v>
      </c>
      <c r="J20" s="14" t="s">
        <v>372</v>
      </c>
      <c r="K20" s="14" t="s">
        <v>92</v>
      </c>
      <c r="L20" s="14" t="s">
        <v>113</v>
      </c>
      <c r="M20" s="2" t="s">
        <v>373</v>
      </c>
      <c r="N20" s="2" t="s">
        <v>374</v>
      </c>
      <c r="O20" s="2" t="s">
        <v>375</v>
      </c>
      <c r="P20" s="2" t="s">
        <v>245</v>
      </c>
      <c r="Q20" s="2" t="s">
        <v>376</v>
      </c>
      <c r="R20" s="2" t="s">
        <v>377</v>
      </c>
      <c r="S20" s="2" t="s">
        <v>378</v>
      </c>
      <c r="T20" s="2" t="s">
        <v>379</v>
      </c>
      <c r="U20" s="2" t="s">
        <v>380</v>
      </c>
      <c r="V20" s="2" t="s">
        <v>381</v>
      </c>
      <c r="W20" s="2" t="s">
        <v>382</v>
      </c>
    </row>
    <row r="21" spans="1:23" ht="66" customHeight="1" x14ac:dyDescent="0.25">
      <c r="A21" s="3" t="s">
        <v>383</v>
      </c>
      <c r="B21" s="2" t="s">
        <v>364</v>
      </c>
      <c r="C21" s="14" t="s">
        <v>384</v>
      </c>
      <c r="D21" s="14" t="s">
        <v>385</v>
      </c>
      <c r="E21" s="14" t="s">
        <v>367</v>
      </c>
      <c r="F21" s="2" t="s">
        <v>386</v>
      </c>
      <c r="G21" s="2" t="s">
        <v>387</v>
      </c>
      <c r="H21" s="2" t="s">
        <v>388</v>
      </c>
      <c r="I21" s="14" t="s">
        <v>389</v>
      </c>
      <c r="J21" s="14" t="s">
        <v>372</v>
      </c>
      <c r="K21" s="14" t="s">
        <v>92</v>
      </c>
      <c r="L21" s="14" t="s">
        <v>113</v>
      </c>
      <c r="M21" s="2" t="s">
        <v>390</v>
      </c>
      <c r="N21" s="2" t="s">
        <v>391</v>
      </c>
      <c r="O21" s="2" t="s">
        <v>392</v>
      </c>
      <c r="P21" s="2" t="s">
        <v>245</v>
      </c>
      <c r="Q21" s="2" t="s">
        <v>376</v>
      </c>
      <c r="R21" s="2" t="s">
        <v>377</v>
      </c>
      <c r="S21" s="2" t="s">
        <v>393</v>
      </c>
      <c r="T21" s="2" t="s">
        <v>379</v>
      </c>
      <c r="U21" s="2" t="s">
        <v>394</v>
      </c>
      <c r="V21" s="2" t="s">
        <v>381</v>
      </c>
      <c r="W21" s="2" t="s">
        <v>395</v>
      </c>
    </row>
    <row r="22" spans="1:23" ht="66" customHeight="1" x14ac:dyDescent="0.25">
      <c r="A22" s="3" t="s">
        <v>396</v>
      </c>
      <c r="B22" s="2" t="s">
        <v>364</v>
      </c>
      <c r="C22" s="14" t="s">
        <v>397</v>
      </c>
      <c r="D22" s="14" t="s">
        <v>398</v>
      </c>
      <c r="E22" s="14" t="s">
        <v>367</v>
      </c>
      <c r="F22" s="2" t="s">
        <v>399</v>
      </c>
      <c r="G22" s="2" t="s">
        <v>400</v>
      </c>
      <c r="H22" s="2" t="s">
        <v>401</v>
      </c>
      <c r="I22" s="14" t="s">
        <v>397</v>
      </c>
      <c r="J22" s="14" t="s">
        <v>53</v>
      </c>
      <c r="K22" s="14" t="s">
        <v>170</v>
      </c>
      <c r="L22" s="14" t="s">
        <v>113</v>
      </c>
      <c r="M22" s="2" t="s">
        <v>402</v>
      </c>
      <c r="N22" s="2" t="s">
        <v>403</v>
      </c>
      <c r="O22" s="2" t="s">
        <v>404</v>
      </c>
      <c r="P22" s="2" t="s">
        <v>245</v>
      </c>
      <c r="Q22" s="2" t="s">
        <v>376</v>
      </c>
      <c r="R22" s="2" t="s">
        <v>377</v>
      </c>
      <c r="S22" s="2" t="s">
        <v>405</v>
      </c>
      <c r="T22" s="2" t="s">
        <v>379</v>
      </c>
      <c r="U22" s="2" t="s">
        <v>406</v>
      </c>
      <c r="V22" s="2" t="s">
        <v>381</v>
      </c>
      <c r="W22" s="2" t="s">
        <v>407</v>
      </c>
    </row>
    <row r="23" spans="1:23" ht="66" customHeight="1" x14ac:dyDescent="0.25">
      <c r="A23" s="3" t="s">
        <v>408</v>
      </c>
      <c r="B23" s="2" t="s">
        <v>364</v>
      </c>
      <c r="C23" s="14" t="s">
        <v>409</v>
      </c>
      <c r="D23" s="14" t="s">
        <v>410</v>
      </c>
      <c r="E23" s="14" t="s">
        <v>367</v>
      </c>
      <c r="F23" s="2" t="s">
        <v>411</v>
      </c>
      <c r="G23" s="2" t="s">
        <v>412</v>
      </c>
      <c r="H23" s="2" t="s">
        <v>413</v>
      </c>
      <c r="I23" s="14" t="s">
        <v>414</v>
      </c>
      <c r="J23" s="14" t="s">
        <v>415</v>
      </c>
      <c r="K23" s="14" t="s">
        <v>170</v>
      </c>
      <c r="L23" s="14" t="s">
        <v>113</v>
      </c>
      <c r="M23" s="2" t="s">
        <v>416</v>
      </c>
      <c r="N23" s="2" t="s">
        <v>417</v>
      </c>
      <c r="O23" s="2" t="s">
        <v>418</v>
      </c>
      <c r="P23" s="2" t="s">
        <v>419</v>
      </c>
      <c r="Q23" s="2" t="s">
        <v>376</v>
      </c>
      <c r="R23" s="2" t="s">
        <v>377</v>
      </c>
      <c r="S23" s="2" t="s">
        <v>420</v>
      </c>
      <c r="T23" s="2" t="s">
        <v>379</v>
      </c>
      <c r="U23" s="2" t="s">
        <v>421</v>
      </c>
      <c r="V23" s="2" t="s">
        <v>381</v>
      </c>
      <c r="W23" s="2" t="s">
        <v>422</v>
      </c>
    </row>
    <row r="24" spans="1:23" ht="66" customHeight="1" x14ac:dyDescent="0.25">
      <c r="A24" s="3" t="s">
        <v>423</v>
      </c>
      <c r="B24" s="2" t="s">
        <v>364</v>
      </c>
      <c r="C24" s="14" t="s">
        <v>424</v>
      </c>
      <c r="D24" s="14" t="s">
        <v>425</v>
      </c>
      <c r="E24" s="14" t="s">
        <v>367</v>
      </c>
      <c r="F24" s="2" t="s">
        <v>426</v>
      </c>
      <c r="G24" s="2" t="s">
        <v>427</v>
      </c>
      <c r="H24" s="2" t="s">
        <v>428</v>
      </c>
      <c r="I24" s="14" t="s">
        <v>424</v>
      </c>
      <c r="J24" s="14" t="s">
        <v>429</v>
      </c>
      <c r="K24" s="14" t="s">
        <v>170</v>
      </c>
      <c r="L24" s="14" t="s">
        <v>430</v>
      </c>
      <c r="M24" s="2" t="s">
        <v>431</v>
      </c>
      <c r="N24" s="2" t="s">
        <v>432</v>
      </c>
      <c r="O24" s="2" t="s">
        <v>433</v>
      </c>
      <c r="P24" s="2" t="s">
        <v>245</v>
      </c>
      <c r="Q24" s="2" t="s">
        <v>376</v>
      </c>
      <c r="R24" s="2" t="s">
        <v>377</v>
      </c>
      <c r="S24" s="2" t="s">
        <v>434</v>
      </c>
      <c r="T24" s="2" t="s">
        <v>379</v>
      </c>
      <c r="U24" s="2" t="s">
        <v>435</v>
      </c>
      <c r="V24" s="2" t="s">
        <v>381</v>
      </c>
      <c r="W24" s="2" t="s">
        <v>436</v>
      </c>
    </row>
    <row r="25" spans="1:23" ht="66" customHeight="1" x14ac:dyDescent="0.25">
      <c r="A25" s="3" t="s">
        <v>437</v>
      </c>
      <c r="B25" s="2" t="s">
        <v>364</v>
      </c>
      <c r="C25" s="14" t="s">
        <v>438</v>
      </c>
      <c r="D25" s="14" t="s">
        <v>439</v>
      </c>
      <c r="E25" s="14" t="s">
        <v>367</v>
      </c>
      <c r="F25" s="2" t="s">
        <v>440</v>
      </c>
      <c r="G25" s="2" t="s">
        <v>441</v>
      </c>
      <c r="H25" s="2" t="s">
        <v>442</v>
      </c>
      <c r="I25" s="14" t="s">
        <v>438</v>
      </c>
      <c r="J25" s="14" t="s">
        <v>443</v>
      </c>
      <c r="K25" s="14" t="s">
        <v>444</v>
      </c>
      <c r="L25" s="14" t="s">
        <v>430</v>
      </c>
      <c r="M25" s="2" t="s">
        <v>445</v>
      </c>
      <c r="N25" s="2" t="s">
        <v>446</v>
      </c>
      <c r="O25" s="2" t="s">
        <v>447</v>
      </c>
      <c r="P25" s="2" t="s">
        <v>419</v>
      </c>
      <c r="Q25" s="2" t="s">
        <v>376</v>
      </c>
      <c r="R25" s="2" t="s">
        <v>377</v>
      </c>
      <c r="S25" s="2" t="s">
        <v>448</v>
      </c>
      <c r="T25" s="2" t="s">
        <v>379</v>
      </c>
      <c r="U25" s="2" t="s">
        <v>449</v>
      </c>
      <c r="V25" s="2" t="s">
        <v>381</v>
      </c>
      <c r="W25" s="2" t="s">
        <v>450</v>
      </c>
    </row>
    <row r="26" spans="1:23" ht="66" customHeight="1" x14ac:dyDescent="0.25">
      <c r="A26" s="3" t="s">
        <v>451</v>
      </c>
      <c r="B26" s="2" t="s">
        <v>452</v>
      </c>
      <c r="C26" s="14" t="s">
        <v>453</v>
      </c>
      <c r="D26" s="14" t="s">
        <v>454</v>
      </c>
      <c r="E26" s="14" t="s">
        <v>367</v>
      </c>
      <c r="F26" s="2" t="s">
        <v>455</v>
      </c>
      <c r="G26" s="2" t="s">
        <v>456</v>
      </c>
      <c r="H26" s="2" t="s">
        <v>457</v>
      </c>
      <c r="I26" s="14" t="s">
        <v>458</v>
      </c>
      <c r="J26" s="14" t="s">
        <v>415</v>
      </c>
      <c r="K26" s="14" t="s">
        <v>170</v>
      </c>
      <c r="L26" s="14" t="s">
        <v>430</v>
      </c>
      <c r="M26" s="2" t="s">
        <v>459</v>
      </c>
      <c r="N26" s="2" t="s">
        <v>460</v>
      </c>
      <c r="O26" s="2" t="s">
        <v>461</v>
      </c>
      <c r="P26" s="2" t="s">
        <v>462</v>
      </c>
      <c r="Q26" s="2" t="s">
        <v>376</v>
      </c>
      <c r="R26" s="2" t="s">
        <v>377</v>
      </c>
      <c r="S26" s="2" t="s">
        <v>463</v>
      </c>
      <c r="T26" s="2" t="s">
        <v>379</v>
      </c>
      <c r="U26" s="2" t="s">
        <v>464</v>
      </c>
      <c r="V26" s="2" t="s">
        <v>381</v>
      </c>
      <c r="W26" s="2" t="s">
        <v>465</v>
      </c>
    </row>
    <row r="27" spans="1:23" ht="66" customHeight="1" x14ac:dyDescent="0.25">
      <c r="A27" s="3" t="s">
        <v>466</v>
      </c>
      <c r="B27" s="2" t="s">
        <v>452</v>
      </c>
      <c r="C27" s="14" t="s">
        <v>467</v>
      </c>
      <c r="D27" s="14" t="s">
        <v>468</v>
      </c>
      <c r="E27" s="14" t="s">
        <v>367</v>
      </c>
      <c r="F27" s="2" t="s">
        <v>469</v>
      </c>
      <c r="G27" s="2" t="s">
        <v>470</v>
      </c>
      <c r="H27" s="2" t="s">
        <v>471</v>
      </c>
      <c r="I27" s="14" t="s">
        <v>458</v>
      </c>
      <c r="J27" s="14" t="s">
        <v>443</v>
      </c>
      <c r="K27" s="14" t="s">
        <v>444</v>
      </c>
      <c r="L27" s="14" t="s">
        <v>472</v>
      </c>
      <c r="M27" s="2" t="s">
        <v>473</v>
      </c>
      <c r="N27" s="2" t="s">
        <v>474</v>
      </c>
      <c r="O27" s="2" t="s">
        <v>475</v>
      </c>
      <c r="P27" s="2" t="s">
        <v>419</v>
      </c>
      <c r="Q27" s="2" t="s">
        <v>376</v>
      </c>
      <c r="R27" s="2" t="s">
        <v>377</v>
      </c>
      <c r="S27" s="2" t="s">
        <v>476</v>
      </c>
      <c r="T27" s="2" t="s">
        <v>379</v>
      </c>
      <c r="U27" s="2" t="s">
        <v>477</v>
      </c>
      <c r="V27" s="2" t="s">
        <v>381</v>
      </c>
      <c r="W27" s="2" t="s">
        <v>478</v>
      </c>
    </row>
    <row r="28" spans="1:23" ht="66" customHeight="1" x14ac:dyDescent="0.25">
      <c r="A28" s="3" t="s">
        <v>479</v>
      </c>
      <c r="B28" s="2" t="s">
        <v>452</v>
      </c>
      <c r="C28" s="14" t="s">
        <v>480</v>
      </c>
      <c r="D28" s="14" t="s">
        <v>481</v>
      </c>
      <c r="E28" s="14" t="s">
        <v>482</v>
      </c>
      <c r="F28" s="2" t="s">
        <v>483</v>
      </c>
      <c r="G28" s="2" t="s">
        <v>484</v>
      </c>
      <c r="H28" s="2" t="s">
        <v>485</v>
      </c>
      <c r="I28" s="14" t="s">
        <v>458</v>
      </c>
      <c r="J28" s="14" t="s">
        <v>372</v>
      </c>
      <c r="K28" s="14" t="s">
        <v>170</v>
      </c>
      <c r="L28" s="14" t="s">
        <v>430</v>
      </c>
      <c r="M28" s="2" t="s">
        <v>486</v>
      </c>
      <c r="N28" s="2" t="s">
        <v>487</v>
      </c>
      <c r="O28" s="2" t="s">
        <v>488</v>
      </c>
      <c r="P28" s="2" t="s">
        <v>462</v>
      </c>
      <c r="Q28" s="2" t="s">
        <v>376</v>
      </c>
      <c r="R28" s="2" t="s">
        <v>377</v>
      </c>
      <c r="S28" s="2" t="s">
        <v>489</v>
      </c>
      <c r="T28" s="2" t="s">
        <v>379</v>
      </c>
      <c r="U28" s="2" t="s">
        <v>490</v>
      </c>
      <c r="V28" s="2" t="s">
        <v>381</v>
      </c>
      <c r="W28" s="2" t="s">
        <v>491</v>
      </c>
    </row>
    <row r="29" spans="1:23" ht="66" customHeight="1" x14ac:dyDescent="0.25">
      <c r="A29" s="3" t="s">
        <v>492</v>
      </c>
      <c r="B29" s="2" t="s">
        <v>452</v>
      </c>
      <c r="C29" s="14" t="s">
        <v>493</v>
      </c>
      <c r="D29" s="14" t="s">
        <v>494</v>
      </c>
      <c r="E29" s="14" t="s">
        <v>367</v>
      </c>
      <c r="F29" s="2" t="s">
        <v>495</v>
      </c>
      <c r="G29" s="2" t="s">
        <v>496</v>
      </c>
      <c r="H29" s="2" t="s">
        <v>497</v>
      </c>
      <c r="I29" s="14" t="s">
        <v>493</v>
      </c>
      <c r="J29" s="14" t="s">
        <v>443</v>
      </c>
      <c r="K29" s="14" t="s">
        <v>444</v>
      </c>
      <c r="L29" s="14" t="s">
        <v>472</v>
      </c>
      <c r="M29" s="2" t="s">
        <v>498</v>
      </c>
      <c r="N29" s="2" t="s">
        <v>499</v>
      </c>
      <c r="O29" s="2" t="s">
        <v>500</v>
      </c>
      <c r="P29" s="2" t="s">
        <v>355</v>
      </c>
      <c r="Q29" s="2" t="s">
        <v>376</v>
      </c>
      <c r="R29" s="2" t="s">
        <v>377</v>
      </c>
      <c r="S29" s="2" t="s">
        <v>501</v>
      </c>
      <c r="T29" s="2" t="s">
        <v>379</v>
      </c>
      <c r="U29" s="2" t="s">
        <v>502</v>
      </c>
      <c r="V29" s="2" t="s">
        <v>381</v>
      </c>
      <c r="W29" s="2" t="s">
        <v>503</v>
      </c>
    </row>
    <row r="30" spans="1:23" ht="66" customHeight="1" x14ac:dyDescent="0.25">
      <c r="A30" s="3" t="s">
        <v>504</v>
      </c>
      <c r="B30" s="2" t="s">
        <v>452</v>
      </c>
      <c r="C30" s="14" t="s">
        <v>505</v>
      </c>
      <c r="D30" s="14" t="s">
        <v>506</v>
      </c>
      <c r="E30" s="14" t="s">
        <v>367</v>
      </c>
      <c r="F30" s="2" t="s">
        <v>507</v>
      </c>
      <c r="G30" s="2" t="s">
        <v>508</v>
      </c>
      <c r="H30" s="2" t="s">
        <v>509</v>
      </c>
      <c r="I30" s="14" t="s">
        <v>505</v>
      </c>
      <c r="J30" s="14" t="s">
        <v>510</v>
      </c>
      <c r="K30" s="14" t="s">
        <v>92</v>
      </c>
      <c r="L30" s="14" t="s">
        <v>113</v>
      </c>
      <c r="M30" s="2" t="s">
        <v>511</v>
      </c>
      <c r="N30" s="2" t="s">
        <v>512</v>
      </c>
      <c r="O30" s="2" t="s">
        <v>513</v>
      </c>
      <c r="P30" s="2" t="s">
        <v>355</v>
      </c>
      <c r="Q30" s="2" t="s">
        <v>376</v>
      </c>
      <c r="R30" s="2" t="s">
        <v>377</v>
      </c>
      <c r="S30" s="2" t="s">
        <v>514</v>
      </c>
      <c r="T30" s="2" t="s">
        <v>379</v>
      </c>
      <c r="U30" s="2" t="s">
        <v>515</v>
      </c>
      <c r="V30" s="2" t="s">
        <v>381</v>
      </c>
      <c r="W30" s="2" t="s">
        <v>516</v>
      </c>
    </row>
    <row r="31" spans="1:23" ht="66" customHeight="1" x14ac:dyDescent="0.25">
      <c r="A31" s="3" t="s">
        <v>517</v>
      </c>
      <c r="B31" s="2" t="s">
        <v>452</v>
      </c>
      <c r="C31" s="14" t="s">
        <v>518</v>
      </c>
      <c r="D31" s="14" t="s">
        <v>519</v>
      </c>
      <c r="E31" s="14" t="s">
        <v>520</v>
      </c>
      <c r="F31" s="2" t="s">
        <v>521</v>
      </c>
      <c r="G31" s="2" t="s">
        <v>522</v>
      </c>
      <c r="H31" s="2" t="s">
        <v>523</v>
      </c>
      <c r="I31" s="14" t="s">
        <v>524</v>
      </c>
      <c r="J31" s="14" t="s">
        <v>53</v>
      </c>
      <c r="K31" s="14" t="s">
        <v>170</v>
      </c>
      <c r="L31" s="14" t="s">
        <v>113</v>
      </c>
      <c r="M31" s="2" t="s">
        <v>525</v>
      </c>
      <c r="N31" s="2" t="s">
        <v>526</v>
      </c>
      <c r="O31" s="2" t="s">
        <v>527</v>
      </c>
      <c r="P31" s="2" t="s">
        <v>355</v>
      </c>
      <c r="Q31" s="2" t="s">
        <v>376</v>
      </c>
      <c r="R31" s="2" t="s">
        <v>377</v>
      </c>
      <c r="S31" s="2" t="s">
        <v>528</v>
      </c>
      <c r="T31" s="2" t="s">
        <v>379</v>
      </c>
      <c r="U31" s="2" t="s">
        <v>529</v>
      </c>
      <c r="V31" s="2" t="s">
        <v>381</v>
      </c>
      <c r="W31" s="2" t="s">
        <v>530</v>
      </c>
    </row>
    <row r="32" spans="1:23" ht="66" customHeight="1" x14ac:dyDescent="0.25">
      <c r="A32" s="3" t="s">
        <v>531</v>
      </c>
      <c r="B32" s="2" t="s">
        <v>452</v>
      </c>
      <c r="C32" s="14" t="s">
        <v>532</v>
      </c>
      <c r="D32" s="14" t="s">
        <v>533</v>
      </c>
      <c r="E32" s="14" t="s">
        <v>367</v>
      </c>
      <c r="F32" s="2" t="s">
        <v>534</v>
      </c>
      <c r="G32" s="2" t="s">
        <v>535</v>
      </c>
      <c r="H32" s="2" t="s">
        <v>536</v>
      </c>
      <c r="I32" s="14" t="s">
        <v>532</v>
      </c>
      <c r="J32" s="14" t="s">
        <v>53</v>
      </c>
      <c r="K32" s="14" t="s">
        <v>170</v>
      </c>
      <c r="L32" s="14" t="s">
        <v>93</v>
      </c>
      <c r="M32" s="2" t="s">
        <v>537</v>
      </c>
      <c r="N32" s="2" t="s">
        <v>538</v>
      </c>
      <c r="O32" s="2" t="s">
        <v>539</v>
      </c>
      <c r="P32" s="2" t="s">
        <v>355</v>
      </c>
      <c r="Q32" s="2" t="s">
        <v>376</v>
      </c>
      <c r="R32" s="2" t="s">
        <v>377</v>
      </c>
      <c r="S32" s="2" t="s">
        <v>540</v>
      </c>
      <c r="T32" s="2" t="s">
        <v>379</v>
      </c>
      <c r="U32" s="2" t="s">
        <v>541</v>
      </c>
      <c r="V32" s="2" t="s">
        <v>381</v>
      </c>
      <c r="W32" s="2" t="s">
        <v>542</v>
      </c>
    </row>
    <row r="33" spans="1:23" ht="66" customHeight="1" x14ac:dyDescent="0.25">
      <c r="A33" s="3" t="s">
        <v>543</v>
      </c>
      <c r="B33" s="2" t="s">
        <v>452</v>
      </c>
      <c r="C33" s="14" t="s">
        <v>544</v>
      </c>
      <c r="D33" s="14" t="s">
        <v>545</v>
      </c>
      <c r="E33" s="14" t="s">
        <v>367</v>
      </c>
      <c r="F33" s="2" t="s">
        <v>546</v>
      </c>
      <c r="G33" s="2" t="s">
        <v>547</v>
      </c>
      <c r="H33" s="2" t="s">
        <v>548</v>
      </c>
      <c r="I33" s="14" t="s">
        <v>544</v>
      </c>
      <c r="J33" s="14" t="s">
        <v>53</v>
      </c>
      <c r="K33" s="14" t="s">
        <v>170</v>
      </c>
      <c r="L33" s="14" t="s">
        <v>113</v>
      </c>
      <c r="M33" s="2" t="s">
        <v>549</v>
      </c>
      <c r="N33" s="2" t="s">
        <v>550</v>
      </c>
      <c r="O33" s="2" t="s">
        <v>551</v>
      </c>
      <c r="P33" s="2" t="s">
        <v>154</v>
      </c>
      <c r="Q33" s="2" t="s">
        <v>376</v>
      </c>
      <c r="R33" s="2" t="s">
        <v>377</v>
      </c>
      <c r="S33" s="2" t="s">
        <v>552</v>
      </c>
      <c r="T33" s="2" t="s">
        <v>379</v>
      </c>
      <c r="U33" s="2" t="s">
        <v>553</v>
      </c>
      <c r="V33" s="2" t="s">
        <v>381</v>
      </c>
      <c r="W33" s="2" t="s">
        <v>554</v>
      </c>
    </row>
    <row r="34" spans="1:23" ht="66" customHeight="1" x14ac:dyDescent="0.25">
      <c r="A34" s="3" t="s">
        <v>555</v>
      </c>
      <c r="B34" s="2" t="s">
        <v>452</v>
      </c>
      <c r="C34" s="14" t="s">
        <v>556</v>
      </c>
      <c r="D34" s="14" t="s">
        <v>557</v>
      </c>
      <c r="E34" s="14" t="s">
        <v>482</v>
      </c>
      <c r="F34" s="2" t="s">
        <v>558</v>
      </c>
      <c r="G34" s="2" t="s">
        <v>559</v>
      </c>
      <c r="H34" s="2" t="s">
        <v>560</v>
      </c>
      <c r="I34" s="14" t="s">
        <v>561</v>
      </c>
      <c r="J34" s="14" t="s">
        <v>372</v>
      </c>
      <c r="K34" s="14" t="s">
        <v>92</v>
      </c>
      <c r="L34" s="14" t="s">
        <v>113</v>
      </c>
      <c r="M34" s="2" t="s">
        <v>562</v>
      </c>
      <c r="N34" s="2" t="s">
        <v>563</v>
      </c>
      <c r="O34" s="2" t="s">
        <v>564</v>
      </c>
      <c r="P34" s="2" t="s">
        <v>227</v>
      </c>
      <c r="Q34" s="2" t="s">
        <v>376</v>
      </c>
      <c r="R34" s="2" t="s">
        <v>377</v>
      </c>
      <c r="S34" s="2" t="s">
        <v>565</v>
      </c>
      <c r="T34" s="2" t="s">
        <v>379</v>
      </c>
      <c r="U34" s="2" t="s">
        <v>566</v>
      </c>
      <c r="V34" s="2" t="s">
        <v>381</v>
      </c>
      <c r="W34" s="2" t="s">
        <v>567</v>
      </c>
    </row>
    <row r="35" spans="1:23" ht="66" customHeight="1" x14ac:dyDescent="0.25">
      <c r="A35" s="3" t="s">
        <v>568</v>
      </c>
      <c r="B35" s="2" t="s">
        <v>569</v>
      </c>
      <c r="C35" s="14" t="s">
        <v>570</v>
      </c>
      <c r="D35" s="14" t="s">
        <v>571</v>
      </c>
      <c r="E35" s="14" t="s">
        <v>572</v>
      </c>
      <c r="F35" s="2" t="s">
        <v>573</v>
      </c>
      <c r="G35" s="2" t="s">
        <v>574</v>
      </c>
      <c r="H35" s="2" t="s">
        <v>575</v>
      </c>
      <c r="I35" s="14" t="s">
        <v>576</v>
      </c>
      <c r="J35" s="14" t="s">
        <v>53</v>
      </c>
      <c r="K35" s="14" t="s">
        <v>92</v>
      </c>
      <c r="L35" s="14" t="s">
        <v>113</v>
      </c>
      <c r="M35" s="2" t="s">
        <v>577</v>
      </c>
      <c r="N35" s="2" t="s">
        <v>578</v>
      </c>
      <c r="O35" s="2" t="s">
        <v>579</v>
      </c>
      <c r="P35" s="2" t="s">
        <v>462</v>
      </c>
      <c r="Q35" s="2" t="s">
        <v>376</v>
      </c>
      <c r="R35" s="2" t="s">
        <v>377</v>
      </c>
      <c r="S35" s="2" t="s">
        <v>580</v>
      </c>
      <c r="T35" s="2" t="s">
        <v>379</v>
      </c>
      <c r="U35" s="2" t="s">
        <v>581</v>
      </c>
      <c r="V35" s="2" t="s">
        <v>381</v>
      </c>
      <c r="W35" s="2" t="s">
        <v>582</v>
      </c>
    </row>
    <row r="36" spans="1:23" ht="66" customHeight="1" x14ac:dyDescent="0.25">
      <c r="A36" s="3" t="s">
        <v>583</v>
      </c>
      <c r="B36" s="2" t="s">
        <v>569</v>
      </c>
      <c r="C36" s="14" t="s">
        <v>584</v>
      </c>
      <c r="D36" s="14" t="s">
        <v>585</v>
      </c>
      <c r="E36" s="14" t="s">
        <v>367</v>
      </c>
      <c r="F36" s="2" t="s">
        <v>586</v>
      </c>
      <c r="G36" s="2" t="s">
        <v>587</v>
      </c>
      <c r="H36" s="2" t="s">
        <v>588</v>
      </c>
      <c r="I36" s="14" t="s">
        <v>589</v>
      </c>
      <c r="J36" s="14" t="s">
        <v>590</v>
      </c>
      <c r="K36" s="14" t="s">
        <v>444</v>
      </c>
      <c r="L36" s="14" t="s">
        <v>430</v>
      </c>
      <c r="M36" s="2" t="s">
        <v>591</v>
      </c>
      <c r="N36" s="2" t="s">
        <v>592</v>
      </c>
      <c r="O36" s="2" t="s">
        <v>593</v>
      </c>
      <c r="P36" s="2" t="s">
        <v>419</v>
      </c>
      <c r="Q36" s="2" t="s">
        <v>376</v>
      </c>
      <c r="R36" s="2" t="s">
        <v>377</v>
      </c>
      <c r="S36" s="2" t="s">
        <v>594</v>
      </c>
      <c r="T36" s="2" t="s">
        <v>379</v>
      </c>
      <c r="U36" s="2" t="s">
        <v>595</v>
      </c>
      <c r="V36" s="2" t="s">
        <v>381</v>
      </c>
      <c r="W36" s="2" t="s">
        <v>596</v>
      </c>
    </row>
    <row r="37" spans="1:23" ht="66" customHeight="1" x14ac:dyDescent="0.25">
      <c r="A37" s="3" t="s">
        <v>597</v>
      </c>
      <c r="B37" s="2" t="s">
        <v>569</v>
      </c>
      <c r="C37" s="14" t="s">
        <v>598</v>
      </c>
      <c r="D37" s="14" t="s">
        <v>599</v>
      </c>
      <c r="E37" s="14" t="s">
        <v>520</v>
      </c>
      <c r="F37" s="2" t="s">
        <v>600</v>
      </c>
      <c r="G37" s="2" t="s">
        <v>601</v>
      </c>
      <c r="H37" s="2" t="s">
        <v>602</v>
      </c>
      <c r="I37" s="14" t="s">
        <v>603</v>
      </c>
      <c r="J37" s="14" t="s">
        <v>443</v>
      </c>
      <c r="K37" s="14" t="s">
        <v>444</v>
      </c>
      <c r="L37" s="14" t="s">
        <v>430</v>
      </c>
      <c r="M37" s="2" t="s">
        <v>604</v>
      </c>
      <c r="N37" s="2" t="s">
        <v>605</v>
      </c>
      <c r="O37" s="2" t="s">
        <v>606</v>
      </c>
      <c r="P37" s="2" t="s">
        <v>462</v>
      </c>
      <c r="Q37" s="2" t="s">
        <v>376</v>
      </c>
      <c r="R37" s="2" t="s">
        <v>377</v>
      </c>
      <c r="S37" s="2" t="s">
        <v>607</v>
      </c>
      <c r="T37" s="2" t="s">
        <v>379</v>
      </c>
      <c r="U37" s="2" t="s">
        <v>608</v>
      </c>
      <c r="V37" s="2" t="s">
        <v>381</v>
      </c>
      <c r="W37" s="2" t="s">
        <v>609</v>
      </c>
    </row>
    <row r="38" spans="1:23" ht="66" customHeight="1" x14ac:dyDescent="0.25">
      <c r="A38" s="3" t="s">
        <v>610</v>
      </c>
      <c r="B38" s="2" t="s">
        <v>611</v>
      </c>
      <c r="C38" s="14" t="s">
        <v>612</v>
      </c>
      <c r="D38" s="14" t="s">
        <v>613</v>
      </c>
      <c r="E38" s="14" t="s">
        <v>614</v>
      </c>
      <c r="F38" s="2" t="s">
        <v>615</v>
      </c>
      <c r="G38" s="2" t="s">
        <v>616</v>
      </c>
      <c r="H38" s="2" t="s">
        <v>617</v>
      </c>
      <c r="I38" s="14" t="s">
        <v>618</v>
      </c>
      <c r="J38" s="14" t="s">
        <v>112</v>
      </c>
      <c r="K38" s="14" t="s">
        <v>92</v>
      </c>
      <c r="L38" s="14" t="s">
        <v>113</v>
      </c>
      <c r="M38" s="2" t="s">
        <v>619</v>
      </c>
      <c r="N38" s="2" t="s">
        <v>620</v>
      </c>
      <c r="O38" s="2" t="s">
        <v>621</v>
      </c>
      <c r="P38" s="2" t="s">
        <v>419</v>
      </c>
      <c r="Q38" s="2" t="s">
        <v>376</v>
      </c>
      <c r="R38" s="2" t="s">
        <v>377</v>
      </c>
      <c r="S38" s="2" t="s">
        <v>622</v>
      </c>
      <c r="T38" s="2" t="s">
        <v>379</v>
      </c>
      <c r="U38" s="2" t="s">
        <v>623</v>
      </c>
      <c r="V38" s="2" t="s">
        <v>381</v>
      </c>
      <c r="W38" s="2" t="s">
        <v>624</v>
      </c>
    </row>
    <row r="39" spans="1:23" ht="66" customHeight="1" x14ac:dyDescent="0.25">
      <c r="A39" s="3" t="s">
        <v>625</v>
      </c>
      <c r="B39" s="2" t="s">
        <v>626</v>
      </c>
      <c r="C39" s="14" t="s">
        <v>627</v>
      </c>
      <c r="D39" s="14" t="s">
        <v>628</v>
      </c>
      <c r="E39" s="14" t="s">
        <v>629</v>
      </c>
      <c r="F39" s="2" t="s">
        <v>630</v>
      </c>
      <c r="G39" s="2" t="s">
        <v>631</v>
      </c>
      <c r="H39" s="2" t="s">
        <v>632</v>
      </c>
      <c r="I39" s="14" t="s">
        <v>414</v>
      </c>
      <c r="J39" s="14" t="s">
        <v>372</v>
      </c>
      <c r="K39" s="14" t="s">
        <v>92</v>
      </c>
      <c r="L39" s="14" t="s">
        <v>113</v>
      </c>
      <c r="M39" s="2" t="s">
        <v>633</v>
      </c>
      <c r="N39" s="2" t="s">
        <v>634</v>
      </c>
      <c r="O39" s="2" t="s">
        <v>635</v>
      </c>
      <c r="P39" s="2" t="s">
        <v>245</v>
      </c>
      <c r="Q39" s="2" t="s">
        <v>636</v>
      </c>
      <c r="R39" s="2" t="s">
        <v>637</v>
      </c>
      <c r="S39" s="2" t="s">
        <v>638</v>
      </c>
      <c r="T39" s="2" t="s">
        <v>639</v>
      </c>
      <c r="U39" s="2" t="s">
        <v>640</v>
      </c>
      <c r="V39" s="2" t="s">
        <v>641</v>
      </c>
      <c r="W39" s="2" t="s">
        <v>642</v>
      </c>
    </row>
    <row r="40" spans="1:23" ht="66" customHeight="1" x14ac:dyDescent="0.25">
      <c r="A40" s="3" t="s">
        <v>643</v>
      </c>
      <c r="B40" s="2" t="s">
        <v>626</v>
      </c>
      <c r="C40" s="14" t="s">
        <v>627</v>
      </c>
      <c r="D40" s="14" t="s">
        <v>644</v>
      </c>
      <c r="E40" s="14" t="s">
        <v>629</v>
      </c>
      <c r="F40" s="2" t="s">
        <v>645</v>
      </c>
      <c r="G40" s="2" t="s">
        <v>646</v>
      </c>
      <c r="H40" s="2" t="s">
        <v>647</v>
      </c>
      <c r="I40" s="14" t="s">
        <v>371</v>
      </c>
      <c r="J40" s="14" t="s">
        <v>72</v>
      </c>
      <c r="K40" s="14" t="s">
        <v>92</v>
      </c>
      <c r="L40" s="14" t="s">
        <v>113</v>
      </c>
      <c r="M40" s="2" t="s">
        <v>648</v>
      </c>
      <c r="N40" s="2" t="s">
        <v>649</v>
      </c>
      <c r="O40" s="2" t="s">
        <v>650</v>
      </c>
      <c r="P40" s="2" t="s">
        <v>154</v>
      </c>
      <c r="Q40" s="2" t="s">
        <v>636</v>
      </c>
      <c r="R40" s="2" t="s">
        <v>637</v>
      </c>
      <c r="S40" s="2" t="s">
        <v>651</v>
      </c>
      <c r="T40" s="2" t="s">
        <v>639</v>
      </c>
      <c r="U40" s="2" t="s">
        <v>652</v>
      </c>
      <c r="V40" s="2" t="s">
        <v>641</v>
      </c>
      <c r="W40" s="2" t="s">
        <v>653</v>
      </c>
    </row>
    <row r="41" spans="1:23" ht="66" customHeight="1" x14ac:dyDescent="0.25">
      <c r="A41" s="3" t="s">
        <v>654</v>
      </c>
      <c r="B41" s="2" t="s">
        <v>626</v>
      </c>
      <c r="C41" s="14" t="s">
        <v>627</v>
      </c>
      <c r="D41" s="14" t="s">
        <v>655</v>
      </c>
      <c r="E41" s="14" t="s">
        <v>629</v>
      </c>
      <c r="F41" s="2" t="s">
        <v>656</v>
      </c>
      <c r="G41" s="2" t="s">
        <v>657</v>
      </c>
      <c r="H41" s="2" t="s">
        <v>658</v>
      </c>
      <c r="I41" s="14" t="s">
        <v>389</v>
      </c>
      <c r="J41" s="14" t="s">
        <v>53</v>
      </c>
      <c r="K41" s="14" t="s">
        <v>92</v>
      </c>
      <c r="L41" s="14" t="s">
        <v>113</v>
      </c>
      <c r="M41" s="2" t="s">
        <v>659</v>
      </c>
      <c r="N41" s="2" t="s">
        <v>660</v>
      </c>
      <c r="O41" s="2" t="s">
        <v>661</v>
      </c>
      <c r="P41" s="2" t="s">
        <v>245</v>
      </c>
      <c r="Q41" s="2" t="s">
        <v>636</v>
      </c>
      <c r="R41" s="2" t="s">
        <v>637</v>
      </c>
      <c r="S41" s="2" t="s">
        <v>662</v>
      </c>
      <c r="T41" s="2" t="s">
        <v>639</v>
      </c>
      <c r="U41" s="2" t="s">
        <v>663</v>
      </c>
      <c r="V41" s="2" t="s">
        <v>641</v>
      </c>
      <c r="W41" s="2" t="s">
        <v>664</v>
      </c>
    </row>
    <row r="42" spans="1:23" ht="66" customHeight="1" x14ac:dyDescent="0.25">
      <c r="A42" s="3" t="s">
        <v>665</v>
      </c>
      <c r="B42" s="2" t="s">
        <v>626</v>
      </c>
      <c r="C42" s="14" t="s">
        <v>627</v>
      </c>
      <c r="D42" s="14" t="s">
        <v>666</v>
      </c>
      <c r="E42" s="14" t="s">
        <v>629</v>
      </c>
      <c r="F42" s="2" t="s">
        <v>667</v>
      </c>
      <c r="G42" s="2" t="s">
        <v>668</v>
      </c>
      <c r="H42" s="2" t="s">
        <v>669</v>
      </c>
      <c r="I42" s="14" t="s">
        <v>397</v>
      </c>
      <c r="J42" s="14" t="s">
        <v>372</v>
      </c>
      <c r="K42" s="14" t="s">
        <v>170</v>
      </c>
      <c r="L42" s="14" t="s">
        <v>113</v>
      </c>
      <c r="M42" s="2" t="s">
        <v>670</v>
      </c>
      <c r="N42" s="2" t="s">
        <v>671</v>
      </c>
      <c r="O42" s="2" t="s">
        <v>672</v>
      </c>
      <c r="P42" s="2" t="s">
        <v>245</v>
      </c>
      <c r="Q42" s="2" t="s">
        <v>636</v>
      </c>
      <c r="R42" s="2" t="s">
        <v>637</v>
      </c>
      <c r="S42" s="2" t="s">
        <v>673</v>
      </c>
      <c r="T42" s="2" t="s">
        <v>639</v>
      </c>
      <c r="U42" s="2" t="s">
        <v>674</v>
      </c>
      <c r="V42" s="2" t="s">
        <v>641</v>
      </c>
      <c r="W42" s="2" t="s">
        <v>675</v>
      </c>
    </row>
    <row r="43" spans="1:23" ht="66" customHeight="1" x14ac:dyDescent="0.25">
      <c r="A43" s="3" t="s">
        <v>676</v>
      </c>
      <c r="B43" s="2" t="s">
        <v>626</v>
      </c>
      <c r="C43" s="14" t="s">
        <v>627</v>
      </c>
      <c r="D43" s="14" t="s">
        <v>677</v>
      </c>
      <c r="E43" s="14" t="s">
        <v>629</v>
      </c>
      <c r="F43" s="2" t="s">
        <v>678</v>
      </c>
      <c r="G43" s="2" t="s">
        <v>679</v>
      </c>
      <c r="H43" s="2" t="s">
        <v>680</v>
      </c>
      <c r="I43" s="14" t="s">
        <v>681</v>
      </c>
      <c r="J43" s="14" t="s">
        <v>372</v>
      </c>
      <c r="K43" s="14" t="s">
        <v>92</v>
      </c>
      <c r="L43" s="14" t="s">
        <v>113</v>
      </c>
      <c r="M43" s="2" t="s">
        <v>682</v>
      </c>
      <c r="N43" s="2" t="s">
        <v>683</v>
      </c>
      <c r="O43" s="2" t="s">
        <v>684</v>
      </c>
      <c r="P43" s="2" t="s">
        <v>154</v>
      </c>
      <c r="Q43" s="2" t="s">
        <v>636</v>
      </c>
      <c r="R43" s="2" t="s">
        <v>637</v>
      </c>
      <c r="S43" s="2" t="s">
        <v>685</v>
      </c>
      <c r="T43" s="2" t="s">
        <v>639</v>
      </c>
      <c r="U43" s="2" t="s">
        <v>686</v>
      </c>
      <c r="V43" s="2" t="s">
        <v>641</v>
      </c>
      <c r="W43" s="2" t="s">
        <v>687</v>
      </c>
    </row>
    <row r="44" spans="1:23" ht="66" customHeight="1" x14ac:dyDescent="0.25">
      <c r="A44" s="3" t="s">
        <v>688</v>
      </c>
      <c r="B44" s="2" t="s">
        <v>611</v>
      </c>
      <c r="C44" s="14" t="s">
        <v>689</v>
      </c>
      <c r="D44" s="14" t="s">
        <v>690</v>
      </c>
      <c r="E44" s="14" t="s">
        <v>629</v>
      </c>
      <c r="F44" s="2" t="s">
        <v>691</v>
      </c>
      <c r="G44" s="2" t="s">
        <v>692</v>
      </c>
      <c r="H44" s="2" t="s">
        <v>693</v>
      </c>
      <c r="I44" s="14" t="s">
        <v>371</v>
      </c>
      <c r="J44" s="14" t="s">
        <v>53</v>
      </c>
      <c r="K44" s="14" t="s">
        <v>92</v>
      </c>
      <c r="L44" s="14" t="s">
        <v>113</v>
      </c>
      <c r="M44" s="2" t="s">
        <v>694</v>
      </c>
      <c r="N44" s="2" t="s">
        <v>695</v>
      </c>
      <c r="O44" s="2" t="s">
        <v>696</v>
      </c>
      <c r="P44" s="2" t="s">
        <v>264</v>
      </c>
      <c r="Q44" s="2" t="s">
        <v>636</v>
      </c>
      <c r="R44" s="2" t="s">
        <v>637</v>
      </c>
      <c r="S44" s="2" t="s">
        <v>697</v>
      </c>
      <c r="T44" s="2" t="s">
        <v>639</v>
      </c>
      <c r="U44" s="2" t="s">
        <v>698</v>
      </c>
      <c r="V44" s="2" t="s">
        <v>641</v>
      </c>
      <c r="W44" s="2" t="s">
        <v>699</v>
      </c>
    </row>
    <row r="45" spans="1:23" ht="66" customHeight="1" x14ac:dyDescent="0.25">
      <c r="A45" s="3" t="s">
        <v>700</v>
      </c>
      <c r="B45" s="2" t="s">
        <v>611</v>
      </c>
      <c r="C45" s="14" t="s">
        <v>689</v>
      </c>
      <c r="D45" s="14" t="s">
        <v>701</v>
      </c>
      <c r="E45" s="14" t="s">
        <v>629</v>
      </c>
      <c r="F45" s="2" t="s">
        <v>702</v>
      </c>
      <c r="G45" s="2" t="s">
        <v>703</v>
      </c>
      <c r="H45" s="2" t="s">
        <v>704</v>
      </c>
      <c r="I45" s="14" t="s">
        <v>705</v>
      </c>
      <c r="J45" s="14" t="s">
        <v>372</v>
      </c>
      <c r="K45" s="14" t="s">
        <v>170</v>
      </c>
      <c r="L45" s="14" t="s">
        <v>430</v>
      </c>
      <c r="M45" s="2" t="s">
        <v>706</v>
      </c>
      <c r="N45" s="2" t="s">
        <v>707</v>
      </c>
      <c r="O45" s="2" t="s">
        <v>708</v>
      </c>
      <c r="P45" s="2" t="s">
        <v>154</v>
      </c>
      <c r="Q45" s="2" t="s">
        <v>636</v>
      </c>
      <c r="R45" s="2" t="s">
        <v>637</v>
      </c>
      <c r="S45" s="2" t="s">
        <v>709</v>
      </c>
      <c r="T45" s="2" t="s">
        <v>639</v>
      </c>
      <c r="U45" s="2" t="s">
        <v>710</v>
      </c>
      <c r="V45" s="2" t="s">
        <v>641</v>
      </c>
      <c r="W45" s="2" t="s">
        <v>711</v>
      </c>
    </row>
    <row r="46" spans="1:23" ht="66" customHeight="1" x14ac:dyDescent="0.25">
      <c r="A46" s="3" t="s">
        <v>712</v>
      </c>
      <c r="B46" s="2" t="s">
        <v>611</v>
      </c>
      <c r="C46" s="14" t="s">
        <v>713</v>
      </c>
      <c r="D46" s="14" t="s">
        <v>714</v>
      </c>
      <c r="E46" s="14" t="s">
        <v>629</v>
      </c>
      <c r="F46" s="2" t="s">
        <v>715</v>
      </c>
      <c r="G46" s="2" t="s">
        <v>716</v>
      </c>
      <c r="H46" s="2" t="s">
        <v>717</v>
      </c>
      <c r="I46" s="14" t="s">
        <v>576</v>
      </c>
      <c r="J46" s="14" t="s">
        <v>372</v>
      </c>
      <c r="K46" s="14" t="s">
        <v>170</v>
      </c>
      <c r="L46" s="14" t="s">
        <v>430</v>
      </c>
      <c r="M46" s="2" t="s">
        <v>718</v>
      </c>
      <c r="N46" s="2" t="s">
        <v>719</v>
      </c>
      <c r="O46" s="2" t="s">
        <v>720</v>
      </c>
      <c r="P46" s="2" t="s">
        <v>264</v>
      </c>
      <c r="Q46" s="2" t="s">
        <v>636</v>
      </c>
      <c r="R46" s="2" t="s">
        <v>637</v>
      </c>
      <c r="S46" s="2" t="s">
        <v>721</v>
      </c>
      <c r="T46" s="2" t="s">
        <v>639</v>
      </c>
      <c r="U46" s="2" t="s">
        <v>722</v>
      </c>
      <c r="V46" s="2" t="s">
        <v>641</v>
      </c>
      <c r="W46" s="2" t="s">
        <v>723</v>
      </c>
    </row>
    <row r="47" spans="1:23" ht="66" customHeight="1" x14ac:dyDescent="0.25">
      <c r="A47" s="3" t="s">
        <v>724</v>
      </c>
      <c r="B47" s="2" t="s">
        <v>611</v>
      </c>
      <c r="C47" s="14" t="s">
        <v>725</v>
      </c>
      <c r="D47" s="14" t="s">
        <v>726</v>
      </c>
      <c r="E47" s="14" t="s">
        <v>629</v>
      </c>
      <c r="F47" s="2" t="s">
        <v>727</v>
      </c>
      <c r="G47" s="2" t="s">
        <v>728</v>
      </c>
      <c r="H47" s="2" t="s">
        <v>729</v>
      </c>
      <c r="I47" s="14" t="s">
        <v>730</v>
      </c>
      <c r="J47" s="14" t="s">
        <v>731</v>
      </c>
      <c r="K47" s="14" t="s">
        <v>170</v>
      </c>
      <c r="L47" s="14" t="s">
        <v>430</v>
      </c>
      <c r="M47" s="2" t="s">
        <v>732</v>
      </c>
      <c r="N47" s="2" t="s">
        <v>733</v>
      </c>
      <c r="O47" s="2" t="s">
        <v>734</v>
      </c>
      <c r="P47" s="2" t="s">
        <v>336</v>
      </c>
      <c r="Q47" s="2" t="s">
        <v>636</v>
      </c>
      <c r="R47" s="2" t="s">
        <v>637</v>
      </c>
      <c r="S47" s="2" t="s">
        <v>735</v>
      </c>
      <c r="T47" s="2" t="s">
        <v>639</v>
      </c>
      <c r="U47" s="2" t="s">
        <v>736</v>
      </c>
      <c r="V47" s="2" t="s">
        <v>641</v>
      </c>
      <c r="W47" s="2" t="s">
        <v>737</v>
      </c>
    </row>
    <row r="48" spans="1:23" ht="66" customHeight="1" x14ac:dyDescent="0.25">
      <c r="A48" s="3" t="s">
        <v>738</v>
      </c>
      <c r="B48" s="2" t="s">
        <v>611</v>
      </c>
      <c r="C48" s="14" t="s">
        <v>739</v>
      </c>
      <c r="D48" s="14" t="s">
        <v>740</v>
      </c>
      <c r="E48" s="14" t="s">
        <v>629</v>
      </c>
      <c r="F48" s="2" t="s">
        <v>741</v>
      </c>
      <c r="G48" s="2" t="s">
        <v>742</v>
      </c>
      <c r="H48" s="2" t="s">
        <v>743</v>
      </c>
      <c r="I48" s="14" t="s">
        <v>744</v>
      </c>
      <c r="J48" s="14" t="s">
        <v>745</v>
      </c>
      <c r="K48" s="14" t="s">
        <v>170</v>
      </c>
      <c r="L48" s="14" t="s">
        <v>113</v>
      </c>
      <c r="M48" s="2" t="s">
        <v>746</v>
      </c>
      <c r="N48" s="2" t="s">
        <v>747</v>
      </c>
      <c r="O48" s="2" t="s">
        <v>748</v>
      </c>
      <c r="P48" s="2" t="s">
        <v>355</v>
      </c>
      <c r="Q48" s="2" t="s">
        <v>636</v>
      </c>
      <c r="R48" s="2" t="s">
        <v>637</v>
      </c>
      <c r="S48" s="2" t="s">
        <v>749</v>
      </c>
      <c r="T48" s="2" t="s">
        <v>639</v>
      </c>
      <c r="U48" s="2" t="s">
        <v>750</v>
      </c>
      <c r="V48" s="2" t="s">
        <v>641</v>
      </c>
      <c r="W48" s="2" t="s">
        <v>751</v>
      </c>
    </row>
    <row r="49" spans="1:23" ht="66" customHeight="1" x14ac:dyDescent="0.25">
      <c r="A49" s="3" t="s">
        <v>752</v>
      </c>
      <c r="B49" s="2" t="s">
        <v>611</v>
      </c>
      <c r="C49" s="14" t="s">
        <v>753</v>
      </c>
      <c r="D49" s="14" t="s">
        <v>754</v>
      </c>
      <c r="E49" s="14" t="s">
        <v>629</v>
      </c>
      <c r="F49" s="2" t="s">
        <v>755</v>
      </c>
      <c r="G49" s="2" t="s">
        <v>756</v>
      </c>
      <c r="H49" s="2" t="s">
        <v>757</v>
      </c>
      <c r="I49" s="14" t="s">
        <v>758</v>
      </c>
      <c r="J49" s="14" t="s">
        <v>759</v>
      </c>
      <c r="K49" s="14" t="s">
        <v>170</v>
      </c>
      <c r="L49" s="14" t="s">
        <v>113</v>
      </c>
      <c r="M49" s="2" t="s">
        <v>760</v>
      </c>
      <c r="N49" s="2" t="s">
        <v>761</v>
      </c>
      <c r="O49" s="2" t="s">
        <v>762</v>
      </c>
      <c r="P49" s="2" t="s">
        <v>355</v>
      </c>
      <c r="Q49" s="2" t="s">
        <v>636</v>
      </c>
      <c r="R49" s="2" t="s">
        <v>637</v>
      </c>
      <c r="S49" s="2" t="s">
        <v>763</v>
      </c>
      <c r="T49" s="2" t="s">
        <v>639</v>
      </c>
      <c r="U49" s="2" t="s">
        <v>764</v>
      </c>
      <c r="V49" s="2" t="s">
        <v>641</v>
      </c>
      <c r="W49" s="2" t="s">
        <v>765</v>
      </c>
    </row>
    <row r="50" spans="1:23" ht="66" customHeight="1" x14ac:dyDescent="0.25">
      <c r="A50" s="3" t="s">
        <v>766</v>
      </c>
      <c r="B50" s="2" t="s">
        <v>611</v>
      </c>
      <c r="C50" s="14" t="s">
        <v>767</v>
      </c>
      <c r="D50" s="14" t="s">
        <v>768</v>
      </c>
      <c r="E50" s="14" t="s">
        <v>629</v>
      </c>
      <c r="F50" s="2" t="s">
        <v>769</v>
      </c>
      <c r="G50" s="2" t="s">
        <v>770</v>
      </c>
      <c r="H50" s="2" t="s">
        <v>771</v>
      </c>
      <c r="I50" s="14" t="s">
        <v>397</v>
      </c>
      <c r="J50" s="14" t="s">
        <v>590</v>
      </c>
      <c r="K50" s="14" t="s">
        <v>444</v>
      </c>
      <c r="L50" s="14" t="s">
        <v>430</v>
      </c>
      <c r="M50" s="2" t="s">
        <v>772</v>
      </c>
      <c r="N50" s="2" t="s">
        <v>773</v>
      </c>
      <c r="O50" s="2" t="s">
        <v>774</v>
      </c>
      <c r="P50" s="2" t="s">
        <v>245</v>
      </c>
      <c r="Q50" s="2" t="s">
        <v>636</v>
      </c>
      <c r="R50" s="2" t="s">
        <v>637</v>
      </c>
      <c r="S50" s="2" t="s">
        <v>775</v>
      </c>
      <c r="T50" s="2" t="s">
        <v>639</v>
      </c>
      <c r="U50" s="2" t="s">
        <v>776</v>
      </c>
      <c r="V50" s="2" t="s">
        <v>641</v>
      </c>
      <c r="W50" s="2" t="s">
        <v>777</v>
      </c>
    </row>
    <row r="51" spans="1:23" ht="66" customHeight="1" x14ac:dyDescent="0.25">
      <c r="A51" s="3" t="s">
        <v>778</v>
      </c>
      <c r="B51" s="2" t="s">
        <v>611</v>
      </c>
      <c r="C51" s="14" t="s">
        <v>779</v>
      </c>
      <c r="D51" s="14" t="s">
        <v>780</v>
      </c>
      <c r="E51" s="14" t="s">
        <v>629</v>
      </c>
      <c r="F51" s="2" t="s">
        <v>781</v>
      </c>
      <c r="G51" s="2" t="s">
        <v>782</v>
      </c>
      <c r="H51" s="2" t="s">
        <v>783</v>
      </c>
      <c r="I51" s="14" t="s">
        <v>784</v>
      </c>
      <c r="J51" s="14" t="s">
        <v>72</v>
      </c>
      <c r="K51" s="14" t="s">
        <v>170</v>
      </c>
      <c r="L51" s="14" t="s">
        <v>430</v>
      </c>
      <c r="M51" s="2" t="s">
        <v>785</v>
      </c>
      <c r="N51" s="2" t="s">
        <v>786</v>
      </c>
      <c r="O51" s="2" t="s">
        <v>787</v>
      </c>
      <c r="P51" s="2" t="s">
        <v>264</v>
      </c>
      <c r="Q51" s="2" t="s">
        <v>636</v>
      </c>
      <c r="R51" s="2" t="s">
        <v>637</v>
      </c>
      <c r="S51" s="2" t="s">
        <v>788</v>
      </c>
      <c r="T51" s="2" t="s">
        <v>639</v>
      </c>
      <c r="U51" s="2" t="s">
        <v>789</v>
      </c>
      <c r="V51" s="2" t="s">
        <v>641</v>
      </c>
      <c r="W51" s="2" t="s">
        <v>790</v>
      </c>
    </row>
    <row r="52" spans="1:23" ht="66" customHeight="1" x14ac:dyDescent="0.25">
      <c r="A52" s="3" t="s">
        <v>791</v>
      </c>
      <c r="B52" s="2" t="s">
        <v>626</v>
      </c>
      <c r="C52" s="14" t="s">
        <v>792</v>
      </c>
      <c r="D52" s="14" t="s">
        <v>793</v>
      </c>
      <c r="E52" s="14" t="s">
        <v>629</v>
      </c>
      <c r="F52" s="2" t="s">
        <v>794</v>
      </c>
      <c r="G52" s="2" t="s">
        <v>795</v>
      </c>
      <c r="H52" s="2" t="s">
        <v>796</v>
      </c>
      <c r="I52" s="14" t="s">
        <v>31</v>
      </c>
      <c r="J52" s="14" t="s">
        <v>797</v>
      </c>
      <c r="K52" s="14" t="s">
        <v>92</v>
      </c>
      <c r="L52" s="14" t="s">
        <v>113</v>
      </c>
      <c r="M52" s="2" t="s">
        <v>798</v>
      </c>
      <c r="N52" s="2" t="s">
        <v>799</v>
      </c>
      <c r="O52" s="2" t="s">
        <v>800</v>
      </c>
      <c r="P52" s="2" t="s">
        <v>336</v>
      </c>
      <c r="Q52" s="2" t="s">
        <v>636</v>
      </c>
      <c r="R52" s="2" t="s">
        <v>637</v>
      </c>
      <c r="S52" s="2" t="s">
        <v>801</v>
      </c>
      <c r="T52" s="2" t="s">
        <v>639</v>
      </c>
      <c r="U52" s="2" t="s">
        <v>802</v>
      </c>
      <c r="V52" s="2" t="s">
        <v>641</v>
      </c>
      <c r="W52" s="2" t="s">
        <v>803</v>
      </c>
    </row>
    <row r="53" spans="1:23" ht="66" customHeight="1" x14ac:dyDescent="0.25">
      <c r="A53" s="3" t="s">
        <v>804</v>
      </c>
      <c r="B53" s="2" t="s">
        <v>569</v>
      </c>
      <c r="C53" s="14" t="s">
        <v>805</v>
      </c>
      <c r="D53" s="14" t="s">
        <v>806</v>
      </c>
      <c r="E53" s="14" t="s">
        <v>572</v>
      </c>
      <c r="F53" s="2" t="s">
        <v>807</v>
      </c>
      <c r="G53" s="2" t="s">
        <v>808</v>
      </c>
      <c r="H53" s="2" t="s">
        <v>809</v>
      </c>
      <c r="I53" s="14" t="s">
        <v>576</v>
      </c>
      <c r="J53" s="14" t="s">
        <v>53</v>
      </c>
      <c r="K53" s="14" t="s">
        <v>92</v>
      </c>
      <c r="L53" s="14" t="s">
        <v>113</v>
      </c>
      <c r="M53" s="2" t="s">
        <v>810</v>
      </c>
      <c r="N53" s="2" t="s">
        <v>811</v>
      </c>
      <c r="O53" s="2" t="s">
        <v>812</v>
      </c>
      <c r="P53" s="2" t="s">
        <v>462</v>
      </c>
      <c r="Q53" s="2" t="s">
        <v>813</v>
      </c>
      <c r="R53" s="2" t="s">
        <v>814</v>
      </c>
      <c r="S53" s="2" t="s">
        <v>815</v>
      </c>
      <c r="T53" s="2" t="s">
        <v>816</v>
      </c>
      <c r="U53" s="2" t="s">
        <v>817</v>
      </c>
      <c r="V53" s="2" t="s">
        <v>818</v>
      </c>
      <c r="W53" s="2" t="s">
        <v>819</v>
      </c>
    </row>
    <row r="54" spans="1:23" ht="66" customHeight="1" x14ac:dyDescent="0.25">
      <c r="A54" s="3" t="s">
        <v>820</v>
      </c>
      <c r="B54" s="2" t="s">
        <v>569</v>
      </c>
      <c r="C54" s="14" t="s">
        <v>821</v>
      </c>
      <c r="D54" s="14" t="s">
        <v>822</v>
      </c>
      <c r="E54" s="14" t="s">
        <v>572</v>
      </c>
      <c r="F54" s="2" t="s">
        <v>823</v>
      </c>
      <c r="G54" s="2" t="s">
        <v>824</v>
      </c>
      <c r="H54" s="2" t="s">
        <v>825</v>
      </c>
      <c r="I54" s="14" t="s">
        <v>31</v>
      </c>
      <c r="J54" s="14" t="s">
        <v>826</v>
      </c>
      <c r="K54" s="14" t="s">
        <v>170</v>
      </c>
      <c r="L54" s="14" t="s">
        <v>113</v>
      </c>
      <c r="M54" s="2" t="s">
        <v>827</v>
      </c>
      <c r="N54" s="2" t="s">
        <v>828</v>
      </c>
      <c r="O54" s="2" t="s">
        <v>829</v>
      </c>
      <c r="P54" s="2" t="s">
        <v>462</v>
      </c>
      <c r="Q54" s="2" t="s">
        <v>813</v>
      </c>
      <c r="R54" s="2" t="s">
        <v>814</v>
      </c>
      <c r="S54" s="2" t="s">
        <v>830</v>
      </c>
      <c r="T54" s="2" t="s">
        <v>816</v>
      </c>
      <c r="U54" s="2" t="s">
        <v>831</v>
      </c>
      <c r="V54" s="2" t="s">
        <v>818</v>
      </c>
      <c r="W54" s="2" t="s">
        <v>832</v>
      </c>
    </row>
    <row r="55" spans="1:23" ht="66" customHeight="1" x14ac:dyDescent="0.25">
      <c r="A55" s="3" t="s">
        <v>833</v>
      </c>
      <c r="B55" s="2" t="s">
        <v>834</v>
      </c>
      <c r="C55" s="14" t="s">
        <v>835</v>
      </c>
      <c r="D55" s="14" t="s">
        <v>836</v>
      </c>
      <c r="E55" s="14" t="s">
        <v>572</v>
      </c>
      <c r="F55" s="2" t="s">
        <v>837</v>
      </c>
      <c r="G55" s="2" t="s">
        <v>838</v>
      </c>
      <c r="H55" s="2" t="s">
        <v>839</v>
      </c>
      <c r="I55" s="14" t="s">
        <v>31</v>
      </c>
      <c r="J55" s="14" t="s">
        <v>840</v>
      </c>
      <c r="K55" s="14" t="s">
        <v>92</v>
      </c>
      <c r="L55" s="14" t="s">
        <v>54</v>
      </c>
      <c r="M55" s="2" t="s">
        <v>841</v>
      </c>
      <c r="N55" s="2" t="s">
        <v>842</v>
      </c>
      <c r="O55" s="2" t="s">
        <v>843</v>
      </c>
      <c r="P55" s="2" t="s">
        <v>419</v>
      </c>
      <c r="Q55" s="2" t="s">
        <v>813</v>
      </c>
      <c r="R55" s="2" t="s">
        <v>814</v>
      </c>
      <c r="S55" s="2" t="s">
        <v>844</v>
      </c>
      <c r="T55" s="2" t="s">
        <v>816</v>
      </c>
      <c r="U55" s="2" t="s">
        <v>845</v>
      </c>
      <c r="V55" s="2" t="s">
        <v>818</v>
      </c>
      <c r="W55" s="2" t="s">
        <v>846</v>
      </c>
    </row>
    <row r="56" spans="1:23" ht="66" customHeight="1" x14ac:dyDescent="0.25">
      <c r="A56" s="3" t="s">
        <v>847</v>
      </c>
      <c r="B56" s="2" t="s">
        <v>834</v>
      </c>
      <c r="C56" s="14" t="s">
        <v>848</v>
      </c>
      <c r="D56" s="14" t="s">
        <v>849</v>
      </c>
      <c r="E56" s="14" t="s">
        <v>572</v>
      </c>
      <c r="F56" s="2" t="s">
        <v>850</v>
      </c>
      <c r="G56" s="2" t="s">
        <v>851</v>
      </c>
      <c r="H56" s="2" t="s">
        <v>852</v>
      </c>
      <c r="I56" s="14" t="s">
        <v>241</v>
      </c>
      <c r="J56" s="14" t="s">
        <v>510</v>
      </c>
      <c r="K56" s="14" t="s">
        <v>170</v>
      </c>
      <c r="L56" s="14" t="s">
        <v>113</v>
      </c>
      <c r="M56" s="2" t="s">
        <v>853</v>
      </c>
      <c r="N56" s="2" t="s">
        <v>854</v>
      </c>
      <c r="O56" s="2" t="s">
        <v>855</v>
      </c>
      <c r="P56" s="2" t="s">
        <v>245</v>
      </c>
      <c r="Q56" s="2" t="s">
        <v>813</v>
      </c>
      <c r="R56" s="2" t="s">
        <v>814</v>
      </c>
      <c r="S56" s="2" t="s">
        <v>856</v>
      </c>
      <c r="T56" s="2" t="s">
        <v>816</v>
      </c>
      <c r="U56" s="2" t="s">
        <v>857</v>
      </c>
      <c r="V56" s="2" t="s">
        <v>818</v>
      </c>
      <c r="W56" s="2" t="s">
        <v>858</v>
      </c>
    </row>
    <row r="57" spans="1:23" ht="66" customHeight="1" x14ac:dyDescent="0.25">
      <c r="A57" s="3" t="s">
        <v>859</v>
      </c>
      <c r="B57" s="2" t="s">
        <v>834</v>
      </c>
      <c r="C57" s="14" t="s">
        <v>860</v>
      </c>
      <c r="D57" s="14" t="s">
        <v>861</v>
      </c>
      <c r="E57" s="14" t="s">
        <v>572</v>
      </c>
      <c r="F57" s="2" t="s">
        <v>862</v>
      </c>
      <c r="G57" s="2" t="s">
        <v>863</v>
      </c>
      <c r="H57" s="2" t="s">
        <v>864</v>
      </c>
      <c r="I57" s="14" t="s">
        <v>241</v>
      </c>
      <c r="J57" s="14" t="s">
        <v>372</v>
      </c>
      <c r="K57" s="14" t="s">
        <v>170</v>
      </c>
      <c r="L57" s="14" t="s">
        <v>430</v>
      </c>
      <c r="M57" s="2" t="s">
        <v>865</v>
      </c>
      <c r="N57" s="2" t="s">
        <v>866</v>
      </c>
      <c r="O57" s="2" t="s">
        <v>867</v>
      </c>
      <c r="P57" s="2" t="s">
        <v>462</v>
      </c>
      <c r="Q57" s="2" t="s">
        <v>813</v>
      </c>
      <c r="R57" s="2" t="s">
        <v>814</v>
      </c>
      <c r="S57" s="2" t="s">
        <v>868</v>
      </c>
      <c r="T57" s="2" t="s">
        <v>816</v>
      </c>
      <c r="U57" s="2" t="s">
        <v>869</v>
      </c>
      <c r="V57" s="2" t="s">
        <v>818</v>
      </c>
      <c r="W57" s="2" t="s">
        <v>870</v>
      </c>
    </row>
    <row r="58" spans="1:23" ht="66" customHeight="1" x14ac:dyDescent="0.25">
      <c r="A58" s="3" t="s">
        <v>871</v>
      </c>
      <c r="B58" s="2" t="s">
        <v>834</v>
      </c>
      <c r="C58" s="14" t="s">
        <v>872</v>
      </c>
      <c r="D58" s="14" t="s">
        <v>873</v>
      </c>
      <c r="E58" s="14" t="s">
        <v>572</v>
      </c>
      <c r="F58" s="2" t="s">
        <v>874</v>
      </c>
      <c r="G58" s="2" t="s">
        <v>875</v>
      </c>
      <c r="H58" s="2" t="s">
        <v>876</v>
      </c>
      <c r="I58" s="14" t="s">
        <v>618</v>
      </c>
      <c r="J58" s="14" t="s">
        <v>877</v>
      </c>
      <c r="K58" s="14" t="s">
        <v>92</v>
      </c>
      <c r="L58" s="14" t="s">
        <v>113</v>
      </c>
      <c r="M58" s="2" t="s">
        <v>878</v>
      </c>
      <c r="N58" s="2" t="s">
        <v>879</v>
      </c>
      <c r="O58" s="2" t="s">
        <v>880</v>
      </c>
      <c r="P58" s="2" t="s">
        <v>419</v>
      </c>
      <c r="Q58" s="2" t="s">
        <v>813</v>
      </c>
      <c r="R58" s="2" t="s">
        <v>814</v>
      </c>
      <c r="S58" s="2" t="s">
        <v>881</v>
      </c>
      <c r="T58" s="2" t="s">
        <v>816</v>
      </c>
      <c r="U58" s="2" t="s">
        <v>882</v>
      </c>
      <c r="V58" s="2" t="s">
        <v>818</v>
      </c>
      <c r="W58" s="2" t="s">
        <v>883</v>
      </c>
    </row>
    <row r="59" spans="1:23" ht="66" customHeight="1" x14ac:dyDescent="0.25">
      <c r="A59" s="3" t="s">
        <v>884</v>
      </c>
      <c r="B59" s="2" t="s">
        <v>834</v>
      </c>
      <c r="C59" s="14" t="s">
        <v>885</v>
      </c>
      <c r="D59" s="14" t="s">
        <v>886</v>
      </c>
      <c r="E59" s="14" t="s">
        <v>572</v>
      </c>
      <c r="F59" s="2" t="s">
        <v>887</v>
      </c>
      <c r="G59" s="2" t="s">
        <v>888</v>
      </c>
      <c r="H59" s="2" t="s">
        <v>889</v>
      </c>
      <c r="I59" s="14" t="s">
        <v>31</v>
      </c>
      <c r="J59" s="14" t="s">
        <v>797</v>
      </c>
      <c r="K59" s="14" t="s">
        <v>170</v>
      </c>
      <c r="L59" s="14" t="s">
        <v>113</v>
      </c>
      <c r="M59" s="2" t="s">
        <v>890</v>
      </c>
      <c r="N59" s="2" t="s">
        <v>891</v>
      </c>
      <c r="O59" s="2" t="s">
        <v>892</v>
      </c>
      <c r="P59" s="2" t="s">
        <v>355</v>
      </c>
      <c r="Q59" s="2" t="s">
        <v>813</v>
      </c>
      <c r="R59" s="2" t="s">
        <v>814</v>
      </c>
      <c r="S59" s="2" t="s">
        <v>893</v>
      </c>
      <c r="T59" s="2" t="s">
        <v>816</v>
      </c>
      <c r="U59" s="2" t="s">
        <v>894</v>
      </c>
      <c r="V59" s="2" t="s">
        <v>818</v>
      </c>
      <c r="W59" s="2" t="s">
        <v>895</v>
      </c>
    </row>
    <row r="60" spans="1:23" ht="66" customHeight="1" x14ac:dyDescent="0.25">
      <c r="A60" s="3" t="s">
        <v>896</v>
      </c>
      <c r="B60" s="2" t="s">
        <v>834</v>
      </c>
      <c r="C60" s="14" t="s">
        <v>897</v>
      </c>
      <c r="D60" s="14" t="s">
        <v>898</v>
      </c>
      <c r="E60" s="14" t="s">
        <v>572</v>
      </c>
      <c r="F60" s="2" t="s">
        <v>899</v>
      </c>
      <c r="G60" s="2" t="s">
        <v>900</v>
      </c>
      <c r="H60" s="2" t="s">
        <v>901</v>
      </c>
      <c r="I60" s="14" t="s">
        <v>31</v>
      </c>
      <c r="J60" s="14" t="s">
        <v>902</v>
      </c>
      <c r="K60" s="14" t="s">
        <v>33</v>
      </c>
      <c r="L60" s="14" t="s">
        <v>54</v>
      </c>
      <c r="M60" s="2" t="s">
        <v>903</v>
      </c>
      <c r="N60" s="2" t="s">
        <v>904</v>
      </c>
      <c r="O60" s="2" t="s">
        <v>905</v>
      </c>
      <c r="P60" s="2" t="s">
        <v>355</v>
      </c>
      <c r="Q60" s="2" t="s">
        <v>813</v>
      </c>
      <c r="R60" s="2" t="s">
        <v>814</v>
      </c>
      <c r="S60" s="2" t="s">
        <v>906</v>
      </c>
      <c r="T60" s="2" t="s">
        <v>816</v>
      </c>
      <c r="U60" s="2" t="s">
        <v>907</v>
      </c>
      <c r="V60" s="2" t="s">
        <v>818</v>
      </c>
      <c r="W60" s="2" t="s">
        <v>908</v>
      </c>
    </row>
    <row r="61" spans="1:23" ht="66" customHeight="1" x14ac:dyDescent="0.25">
      <c r="A61" s="3" t="s">
        <v>909</v>
      </c>
      <c r="B61" s="2" t="s">
        <v>834</v>
      </c>
      <c r="C61" s="14" t="s">
        <v>910</v>
      </c>
      <c r="D61" s="14" t="s">
        <v>911</v>
      </c>
      <c r="E61" s="14" t="s">
        <v>572</v>
      </c>
      <c r="F61" s="2" t="s">
        <v>912</v>
      </c>
      <c r="G61" s="2" t="s">
        <v>913</v>
      </c>
      <c r="H61" s="2" t="s">
        <v>914</v>
      </c>
      <c r="I61" s="14" t="s">
        <v>915</v>
      </c>
      <c r="J61" s="14" t="s">
        <v>916</v>
      </c>
      <c r="K61" s="14" t="s">
        <v>33</v>
      </c>
      <c r="L61" s="14" t="s">
        <v>113</v>
      </c>
      <c r="M61" s="2" t="s">
        <v>917</v>
      </c>
      <c r="N61" s="2" t="s">
        <v>918</v>
      </c>
      <c r="O61" s="2" t="s">
        <v>919</v>
      </c>
      <c r="P61" s="2" t="s">
        <v>462</v>
      </c>
      <c r="Q61" s="2" t="s">
        <v>813</v>
      </c>
      <c r="R61" s="2" t="s">
        <v>814</v>
      </c>
      <c r="S61" s="2" t="s">
        <v>920</v>
      </c>
      <c r="T61" s="2" t="s">
        <v>816</v>
      </c>
      <c r="U61" s="2" t="s">
        <v>921</v>
      </c>
      <c r="V61" s="2" t="s">
        <v>818</v>
      </c>
      <c r="W61" s="2" t="s">
        <v>922</v>
      </c>
    </row>
    <row r="62" spans="1:23" ht="66" customHeight="1" x14ac:dyDescent="0.25">
      <c r="A62" s="3" t="s">
        <v>923</v>
      </c>
      <c r="B62" s="2" t="s">
        <v>834</v>
      </c>
      <c r="C62" s="14" t="s">
        <v>924</v>
      </c>
      <c r="D62" s="14" t="s">
        <v>925</v>
      </c>
      <c r="E62" s="14" t="s">
        <v>572</v>
      </c>
      <c r="F62" s="2" t="s">
        <v>926</v>
      </c>
      <c r="G62" s="2" t="s">
        <v>927</v>
      </c>
      <c r="H62" s="2" t="s">
        <v>928</v>
      </c>
      <c r="I62" s="14" t="s">
        <v>31</v>
      </c>
      <c r="J62" s="14" t="s">
        <v>72</v>
      </c>
      <c r="K62" s="14" t="s">
        <v>92</v>
      </c>
      <c r="L62" s="14" t="s">
        <v>54</v>
      </c>
      <c r="M62" s="2" t="s">
        <v>929</v>
      </c>
      <c r="N62" s="2" t="s">
        <v>930</v>
      </c>
      <c r="O62" s="2" t="s">
        <v>931</v>
      </c>
      <c r="P62" s="2" t="s">
        <v>355</v>
      </c>
      <c r="Q62" s="2" t="s">
        <v>813</v>
      </c>
      <c r="R62" s="2" t="s">
        <v>814</v>
      </c>
      <c r="S62" s="2" t="s">
        <v>932</v>
      </c>
      <c r="T62" s="2" t="s">
        <v>816</v>
      </c>
      <c r="U62" s="2" t="s">
        <v>933</v>
      </c>
      <c r="V62" s="2" t="s">
        <v>818</v>
      </c>
      <c r="W62" s="2" t="s">
        <v>934</v>
      </c>
    </row>
    <row r="63" spans="1:23" ht="66" customHeight="1" x14ac:dyDescent="0.25">
      <c r="A63" s="3" t="s">
        <v>935</v>
      </c>
      <c r="B63" s="2" t="s">
        <v>936</v>
      </c>
      <c r="C63" s="14" t="s">
        <v>937</v>
      </c>
      <c r="D63" s="14" t="s">
        <v>938</v>
      </c>
      <c r="E63" s="14" t="s">
        <v>310</v>
      </c>
      <c r="F63" s="2" t="s">
        <v>939</v>
      </c>
      <c r="G63" s="2" t="s">
        <v>940</v>
      </c>
      <c r="H63" s="2" t="s">
        <v>941</v>
      </c>
      <c r="I63" s="14" t="s">
        <v>942</v>
      </c>
      <c r="J63" s="14" t="s">
        <v>314</v>
      </c>
      <c r="K63" s="14" t="s">
        <v>92</v>
      </c>
      <c r="L63" s="14" t="s">
        <v>113</v>
      </c>
      <c r="M63" s="2" t="s">
        <v>943</v>
      </c>
      <c r="N63" s="2" t="s">
        <v>944</v>
      </c>
      <c r="O63" s="2" t="s">
        <v>945</v>
      </c>
      <c r="P63" s="2" t="s">
        <v>264</v>
      </c>
      <c r="Q63" s="2" t="s">
        <v>946</v>
      </c>
      <c r="R63" s="2" t="s">
        <v>947</v>
      </c>
      <c r="S63" s="2" t="s">
        <v>948</v>
      </c>
      <c r="T63" s="2" t="s">
        <v>949</v>
      </c>
      <c r="U63" s="2" t="s">
        <v>950</v>
      </c>
      <c r="V63" s="2" t="s">
        <v>951</v>
      </c>
      <c r="W63" s="2" t="s">
        <v>952</v>
      </c>
    </row>
    <row r="64" spans="1:23" ht="66" customHeight="1" x14ac:dyDescent="0.25">
      <c r="A64" s="3" t="s">
        <v>953</v>
      </c>
      <c r="B64" s="2" t="s">
        <v>936</v>
      </c>
      <c r="C64" s="14" t="s">
        <v>954</v>
      </c>
      <c r="D64" s="14" t="s">
        <v>955</v>
      </c>
      <c r="E64" s="14" t="s">
        <v>310</v>
      </c>
      <c r="F64" s="2" t="s">
        <v>956</v>
      </c>
      <c r="G64" s="2" t="s">
        <v>957</v>
      </c>
      <c r="H64" s="2" t="s">
        <v>958</v>
      </c>
      <c r="I64" s="14" t="s">
        <v>241</v>
      </c>
      <c r="J64" s="14" t="s">
        <v>797</v>
      </c>
      <c r="K64" s="14" t="s">
        <v>92</v>
      </c>
      <c r="L64" s="14" t="s">
        <v>113</v>
      </c>
      <c r="M64" s="2" t="s">
        <v>959</v>
      </c>
      <c r="N64" s="2" t="s">
        <v>960</v>
      </c>
      <c r="O64" s="2" t="s">
        <v>961</v>
      </c>
      <c r="P64" s="2" t="s">
        <v>264</v>
      </c>
      <c r="Q64" s="2" t="s">
        <v>946</v>
      </c>
      <c r="R64" s="2" t="s">
        <v>947</v>
      </c>
      <c r="S64" s="2" t="s">
        <v>962</v>
      </c>
      <c r="T64" s="2" t="s">
        <v>949</v>
      </c>
      <c r="U64" s="2" t="s">
        <v>963</v>
      </c>
      <c r="V64" s="2" t="s">
        <v>951</v>
      </c>
      <c r="W64" s="2" t="s">
        <v>964</v>
      </c>
    </row>
    <row r="65" spans="1:23" ht="66" customHeight="1" x14ac:dyDescent="0.25">
      <c r="A65" s="3" t="s">
        <v>965</v>
      </c>
      <c r="B65" s="2" t="s">
        <v>936</v>
      </c>
      <c r="C65" s="14" t="s">
        <v>966</v>
      </c>
      <c r="D65" s="14" t="s">
        <v>967</v>
      </c>
      <c r="E65" s="14" t="s">
        <v>310</v>
      </c>
      <c r="F65" s="2" t="s">
        <v>968</v>
      </c>
      <c r="G65" s="2" t="s">
        <v>969</v>
      </c>
      <c r="H65" s="2" t="s">
        <v>970</v>
      </c>
      <c r="I65" s="14" t="s">
        <v>971</v>
      </c>
      <c r="J65" s="14" t="s">
        <v>797</v>
      </c>
      <c r="K65" s="14" t="s">
        <v>92</v>
      </c>
      <c r="L65" s="14" t="s">
        <v>113</v>
      </c>
      <c r="M65" s="2" t="s">
        <v>972</v>
      </c>
      <c r="N65" s="2" t="s">
        <v>973</v>
      </c>
      <c r="O65" s="2" t="s">
        <v>974</v>
      </c>
      <c r="P65" s="2" t="s">
        <v>336</v>
      </c>
      <c r="Q65" s="2" t="s">
        <v>946</v>
      </c>
      <c r="R65" s="2" t="s">
        <v>947</v>
      </c>
      <c r="S65" s="2" t="s">
        <v>975</v>
      </c>
      <c r="T65" s="2" t="s">
        <v>949</v>
      </c>
      <c r="U65" s="2" t="s">
        <v>976</v>
      </c>
      <c r="V65" s="2" t="s">
        <v>951</v>
      </c>
      <c r="W65" s="2" t="s">
        <v>977</v>
      </c>
    </row>
    <row r="66" spans="1:23" ht="66" customHeight="1" x14ac:dyDescent="0.25">
      <c r="A66" s="3" t="s">
        <v>978</v>
      </c>
      <c r="B66" s="2" t="s">
        <v>936</v>
      </c>
      <c r="C66" s="14" t="s">
        <v>979</v>
      </c>
      <c r="D66" s="14" t="s">
        <v>980</v>
      </c>
      <c r="E66" s="14" t="s">
        <v>310</v>
      </c>
      <c r="F66" s="2" t="s">
        <v>981</v>
      </c>
      <c r="G66" s="2" t="s">
        <v>982</v>
      </c>
      <c r="H66" s="2" t="s">
        <v>983</v>
      </c>
      <c r="I66" s="14" t="s">
        <v>31</v>
      </c>
      <c r="J66" s="14" t="s">
        <v>797</v>
      </c>
      <c r="K66" s="14" t="s">
        <v>92</v>
      </c>
      <c r="L66" s="14" t="s">
        <v>113</v>
      </c>
      <c r="M66" s="2" t="s">
        <v>984</v>
      </c>
      <c r="N66" s="2" t="s">
        <v>985</v>
      </c>
      <c r="O66" s="2" t="s">
        <v>986</v>
      </c>
      <c r="P66" s="2" t="s">
        <v>336</v>
      </c>
      <c r="Q66" s="2" t="s">
        <v>946</v>
      </c>
      <c r="R66" s="2" t="s">
        <v>947</v>
      </c>
      <c r="S66" s="2" t="s">
        <v>987</v>
      </c>
      <c r="T66" s="2" t="s">
        <v>949</v>
      </c>
      <c r="U66" s="2" t="s">
        <v>988</v>
      </c>
      <c r="V66" s="2" t="s">
        <v>951</v>
      </c>
      <c r="W66" s="2" t="s">
        <v>989</v>
      </c>
    </row>
    <row r="67" spans="1:23" ht="66" customHeight="1" x14ac:dyDescent="0.25">
      <c r="A67" s="3" t="s">
        <v>990</v>
      </c>
      <c r="B67" s="2" t="s">
        <v>936</v>
      </c>
      <c r="C67" s="14" t="s">
        <v>991</v>
      </c>
      <c r="D67" s="14" t="s">
        <v>992</v>
      </c>
      <c r="E67" s="14" t="s">
        <v>310</v>
      </c>
      <c r="F67" s="2" t="s">
        <v>993</v>
      </c>
      <c r="G67" s="2" t="s">
        <v>994</v>
      </c>
      <c r="H67" s="2" t="s">
        <v>995</v>
      </c>
      <c r="I67" s="14" t="s">
        <v>111</v>
      </c>
      <c r="J67" s="14" t="s">
        <v>314</v>
      </c>
      <c r="K67" s="14" t="s">
        <v>33</v>
      </c>
      <c r="L67" s="14" t="s">
        <v>113</v>
      </c>
      <c r="M67" s="2" t="s">
        <v>996</v>
      </c>
      <c r="N67" s="2" t="s">
        <v>997</v>
      </c>
      <c r="O67" s="2" t="s">
        <v>998</v>
      </c>
      <c r="P67" s="2" t="s">
        <v>264</v>
      </c>
      <c r="Q67" s="2" t="s">
        <v>946</v>
      </c>
      <c r="R67" s="2" t="s">
        <v>947</v>
      </c>
      <c r="S67" s="2" t="s">
        <v>999</v>
      </c>
      <c r="T67" s="2" t="s">
        <v>949</v>
      </c>
      <c r="U67" s="2" t="s">
        <v>1000</v>
      </c>
      <c r="V67" s="2" t="s">
        <v>951</v>
      </c>
      <c r="W67" s="2" t="s">
        <v>1001</v>
      </c>
    </row>
    <row r="68" spans="1:23" ht="66" customHeight="1" x14ac:dyDescent="0.25">
      <c r="A68" s="3" t="s">
        <v>1002</v>
      </c>
      <c r="B68" s="2" t="s">
        <v>936</v>
      </c>
      <c r="C68" s="14" t="s">
        <v>1003</v>
      </c>
      <c r="D68" s="14" t="s">
        <v>1004</v>
      </c>
      <c r="E68" s="14" t="s">
        <v>310</v>
      </c>
      <c r="F68" s="2" t="s">
        <v>1005</v>
      </c>
      <c r="G68" s="2" t="s">
        <v>1006</v>
      </c>
      <c r="H68" s="2" t="s">
        <v>1007</v>
      </c>
      <c r="I68" s="14" t="s">
        <v>241</v>
      </c>
      <c r="J68" s="14" t="s">
        <v>1008</v>
      </c>
      <c r="K68" s="14" t="s">
        <v>33</v>
      </c>
      <c r="L68" s="14" t="s">
        <v>113</v>
      </c>
      <c r="M68" s="2" t="s">
        <v>1009</v>
      </c>
      <c r="N68" s="2" t="s">
        <v>1010</v>
      </c>
      <c r="O68" s="2" t="s">
        <v>1011</v>
      </c>
      <c r="P68" s="2" t="s">
        <v>355</v>
      </c>
      <c r="Q68" s="2" t="s">
        <v>946</v>
      </c>
      <c r="R68" s="2" t="s">
        <v>947</v>
      </c>
      <c r="S68" s="2" t="s">
        <v>1012</v>
      </c>
      <c r="T68" s="2" t="s">
        <v>949</v>
      </c>
      <c r="U68" s="2" t="s">
        <v>1013</v>
      </c>
      <c r="V68" s="2" t="s">
        <v>951</v>
      </c>
      <c r="W68" s="2" t="s">
        <v>1014</v>
      </c>
    </row>
    <row r="69" spans="1:23" ht="66" customHeight="1" x14ac:dyDescent="0.25">
      <c r="A69" s="3" t="s">
        <v>1015</v>
      </c>
      <c r="B69" s="2" t="s">
        <v>936</v>
      </c>
      <c r="C69" s="14" t="s">
        <v>1016</v>
      </c>
      <c r="D69" s="14" t="s">
        <v>1017</v>
      </c>
      <c r="E69" s="14" t="s">
        <v>146</v>
      </c>
      <c r="F69" s="2" t="s">
        <v>1018</v>
      </c>
      <c r="G69" s="2" t="s">
        <v>1019</v>
      </c>
      <c r="H69" s="2" t="s">
        <v>1020</v>
      </c>
      <c r="I69" s="14" t="s">
        <v>31</v>
      </c>
      <c r="J69" s="14" t="s">
        <v>1021</v>
      </c>
      <c r="K69" s="14" t="s">
        <v>33</v>
      </c>
      <c r="L69" s="14" t="s">
        <v>54</v>
      </c>
      <c r="M69" s="2" t="s">
        <v>1022</v>
      </c>
      <c r="N69" s="2" t="s">
        <v>1023</v>
      </c>
      <c r="O69" s="2" t="s">
        <v>1024</v>
      </c>
      <c r="P69" s="2" t="s">
        <v>264</v>
      </c>
      <c r="Q69" s="2" t="s">
        <v>946</v>
      </c>
      <c r="R69" s="2" t="s">
        <v>947</v>
      </c>
      <c r="S69" s="2" t="s">
        <v>1025</v>
      </c>
      <c r="T69" s="2" t="s">
        <v>949</v>
      </c>
      <c r="U69" s="2" t="s">
        <v>1026</v>
      </c>
      <c r="V69" s="2" t="s">
        <v>951</v>
      </c>
      <c r="W69" s="2" t="s">
        <v>1027</v>
      </c>
    </row>
    <row r="70" spans="1:23" ht="66" customHeight="1" x14ac:dyDescent="0.25">
      <c r="A70" s="3" t="s">
        <v>1028</v>
      </c>
      <c r="B70" s="2" t="s">
        <v>936</v>
      </c>
      <c r="C70" s="14" t="s">
        <v>1029</v>
      </c>
      <c r="D70" s="14" t="s">
        <v>1030</v>
      </c>
      <c r="E70" s="14" t="s">
        <v>310</v>
      </c>
      <c r="F70" s="2" t="s">
        <v>1031</v>
      </c>
      <c r="G70" s="2" t="s">
        <v>1032</v>
      </c>
      <c r="H70" s="2" t="s">
        <v>1033</v>
      </c>
      <c r="I70" s="14" t="s">
        <v>31</v>
      </c>
      <c r="J70" s="14" t="s">
        <v>314</v>
      </c>
      <c r="K70" s="14" t="s">
        <v>92</v>
      </c>
      <c r="L70" s="14" t="s">
        <v>113</v>
      </c>
      <c r="M70" s="2" t="s">
        <v>1034</v>
      </c>
      <c r="N70" s="2" t="s">
        <v>1035</v>
      </c>
      <c r="O70" s="2" t="s">
        <v>1036</v>
      </c>
      <c r="P70" s="2" t="s">
        <v>264</v>
      </c>
      <c r="Q70" s="2" t="s">
        <v>946</v>
      </c>
      <c r="R70" s="2" t="s">
        <v>947</v>
      </c>
      <c r="S70" s="2" t="s">
        <v>1037</v>
      </c>
      <c r="T70" s="2" t="s">
        <v>949</v>
      </c>
      <c r="U70" s="2" t="s">
        <v>1038</v>
      </c>
      <c r="V70" s="2" t="s">
        <v>951</v>
      </c>
      <c r="W70" s="2" t="s">
        <v>1039</v>
      </c>
    </row>
    <row r="71" spans="1:23" ht="66" customHeight="1" x14ac:dyDescent="0.25">
      <c r="A71" s="3" t="s">
        <v>1040</v>
      </c>
      <c r="B71" s="2" t="s">
        <v>936</v>
      </c>
      <c r="C71" s="14" t="s">
        <v>1041</v>
      </c>
      <c r="D71" s="14" t="s">
        <v>1042</v>
      </c>
      <c r="E71" s="14" t="s">
        <v>614</v>
      </c>
      <c r="F71" s="2" t="s">
        <v>1043</v>
      </c>
      <c r="G71" s="2" t="s">
        <v>1044</v>
      </c>
      <c r="H71" s="2" t="s">
        <v>1045</v>
      </c>
      <c r="I71" s="14" t="s">
        <v>31</v>
      </c>
      <c r="J71" s="14" t="s">
        <v>279</v>
      </c>
      <c r="K71" s="14" t="s">
        <v>92</v>
      </c>
      <c r="L71" s="14" t="s">
        <v>113</v>
      </c>
      <c r="M71" s="2" t="s">
        <v>1046</v>
      </c>
      <c r="N71" s="2" t="s">
        <v>1047</v>
      </c>
      <c r="O71" s="2" t="s">
        <v>1048</v>
      </c>
      <c r="P71" s="2" t="s">
        <v>336</v>
      </c>
      <c r="Q71" s="2" t="s">
        <v>946</v>
      </c>
      <c r="R71" s="2" t="s">
        <v>947</v>
      </c>
      <c r="S71" s="2" t="s">
        <v>1049</v>
      </c>
      <c r="T71" s="2" t="s">
        <v>949</v>
      </c>
      <c r="U71" s="2" t="s">
        <v>1050</v>
      </c>
      <c r="V71" s="2" t="s">
        <v>951</v>
      </c>
      <c r="W71" s="2" t="s">
        <v>1051</v>
      </c>
    </row>
    <row r="72" spans="1:23" ht="66" customHeight="1" x14ac:dyDescent="0.25">
      <c r="A72" s="3" t="s">
        <v>1052</v>
      </c>
      <c r="B72" s="2" t="s">
        <v>936</v>
      </c>
      <c r="C72" s="14" t="s">
        <v>1053</v>
      </c>
      <c r="D72" s="14" t="s">
        <v>1054</v>
      </c>
      <c r="E72" s="14" t="s">
        <v>347</v>
      </c>
      <c r="F72" s="2" t="s">
        <v>1055</v>
      </c>
      <c r="G72" s="2" t="s">
        <v>1056</v>
      </c>
      <c r="H72" s="2" t="s">
        <v>1057</v>
      </c>
      <c r="I72" s="14" t="s">
        <v>31</v>
      </c>
      <c r="J72" s="14" t="s">
        <v>314</v>
      </c>
      <c r="K72" s="14" t="s">
        <v>33</v>
      </c>
      <c r="L72" s="14" t="s">
        <v>54</v>
      </c>
      <c r="M72" s="2" t="s">
        <v>1058</v>
      </c>
      <c r="N72" s="2" t="s">
        <v>1059</v>
      </c>
      <c r="O72" s="2" t="s">
        <v>1060</v>
      </c>
      <c r="P72" s="2" t="s">
        <v>355</v>
      </c>
      <c r="Q72" s="2" t="s">
        <v>946</v>
      </c>
      <c r="R72" s="2" t="s">
        <v>947</v>
      </c>
      <c r="S72" s="2" t="s">
        <v>1061</v>
      </c>
      <c r="T72" s="2" t="s">
        <v>949</v>
      </c>
      <c r="U72" s="2" t="s">
        <v>1062</v>
      </c>
      <c r="V72" s="2" t="s">
        <v>951</v>
      </c>
      <c r="W72" s="2" t="s">
        <v>1063</v>
      </c>
    </row>
    <row r="73" spans="1:23" ht="66" customHeight="1" x14ac:dyDescent="0.25">
      <c r="A73" s="3" t="s">
        <v>1064</v>
      </c>
      <c r="B73" s="2" t="s">
        <v>1065</v>
      </c>
      <c r="C73" s="14" t="s">
        <v>1066</v>
      </c>
      <c r="D73" s="14" t="s">
        <v>1067</v>
      </c>
      <c r="E73" s="14" t="s">
        <v>107</v>
      </c>
      <c r="F73" s="2" t="s">
        <v>1068</v>
      </c>
      <c r="G73" s="2" t="s">
        <v>1069</v>
      </c>
      <c r="H73" s="2" t="s">
        <v>1070</v>
      </c>
      <c r="I73" s="14" t="s">
        <v>31</v>
      </c>
      <c r="J73" s="14" t="s">
        <v>877</v>
      </c>
      <c r="K73" s="14" t="s">
        <v>92</v>
      </c>
      <c r="L73" s="14" t="s">
        <v>113</v>
      </c>
      <c r="M73" s="2" t="s">
        <v>1071</v>
      </c>
      <c r="N73" s="2" t="s">
        <v>1072</v>
      </c>
      <c r="O73" s="2" t="s">
        <v>1073</v>
      </c>
      <c r="P73" s="2" t="s">
        <v>1074</v>
      </c>
      <c r="Q73" s="2" t="s">
        <v>1075</v>
      </c>
      <c r="R73" s="2" t="s">
        <v>1076</v>
      </c>
      <c r="S73" s="2" t="s">
        <v>1077</v>
      </c>
      <c r="T73" s="2" t="s">
        <v>1078</v>
      </c>
      <c r="U73" s="2" t="s">
        <v>1079</v>
      </c>
      <c r="V73" s="2" t="s">
        <v>1080</v>
      </c>
      <c r="W73" s="2" t="s">
        <v>1081</v>
      </c>
    </row>
    <row r="74" spans="1:23" ht="66" customHeight="1" x14ac:dyDescent="0.25">
      <c r="A74" s="3" t="s">
        <v>1082</v>
      </c>
      <c r="B74" s="2" t="s">
        <v>1065</v>
      </c>
      <c r="C74" s="14" t="s">
        <v>1083</v>
      </c>
      <c r="D74" s="14" t="s">
        <v>1084</v>
      </c>
      <c r="E74" s="14" t="s">
        <v>107</v>
      </c>
      <c r="F74" s="2" t="s">
        <v>1085</v>
      </c>
      <c r="G74" s="2" t="s">
        <v>1086</v>
      </c>
      <c r="H74" s="2" t="s">
        <v>1087</v>
      </c>
      <c r="I74" s="14" t="s">
        <v>241</v>
      </c>
      <c r="J74" s="14" t="s">
        <v>1088</v>
      </c>
      <c r="K74" s="14" t="s">
        <v>170</v>
      </c>
      <c r="L74" s="14" t="s">
        <v>430</v>
      </c>
      <c r="M74" s="2" t="s">
        <v>1089</v>
      </c>
      <c r="N74" s="2" t="s">
        <v>1090</v>
      </c>
      <c r="O74" s="2" t="s">
        <v>1091</v>
      </c>
      <c r="P74" s="2" t="s">
        <v>227</v>
      </c>
      <c r="Q74" s="2" t="s">
        <v>1075</v>
      </c>
      <c r="R74" s="2" t="s">
        <v>1076</v>
      </c>
      <c r="S74" s="2" t="s">
        <v>1092</v>
      </c>
      <c r="T74" s="2" t="s">
        <v>1078</v>
      </c>
      <c r="U74" s="2" t="s">
        <v>1093</v>
      </c>
      <c r="V74" s="2" t="s">
        <v>1080</v>
      </c>
      <c r="W74" s="2" t="s">
        <v>1094</v>
      </c>
    </row>
    <row r="75" spans="1:23" ht="66" customHeight="1" x14ac:dyDescent="0.25">
      <c r="A75" s="3" t="s">
        <v>1095</v>
      </c>
      <c r="B75" s="2" t="s">
        <v>1065</v>
      </c>
      <c r="C75" s="14" t="s">
        <v>1096</v>
      </c>
      <c r="D75" s="14" t="s">
        <v>1097</v>
      </c>
      <c r="E75" s="14" t="s">
        <v>1098</v>
      </c>
      <c r="F75" s="2" t="s">
        <v>1099</v>
      </c>
      <c r="G75" s="2" t="s">
        <v>1100</v>
      </c>
      <c r="H75" s="2" t="s">
        <v>1101</v>
      </c>
      <c r="I75" s="14" t="s">
        <v>1102</v>
      </c>
      <c r="J75" s="14" t="s">
        <v>314</v>
      </c>
      <c r="K75" s="14" t="s">
        <v>170</v>
      </c>
      <c r="L75" s="14" t="s">
        <v>113</v>
      </c>
      <c r="M75" s="2" t="s">
        <v>1103</v>
      </c>
      <c r="N75" s="2" t="s">
        <v>1104</v>
      </c>
      <c r="O75" s="2" t="s">
        <v>1105</v>
      </c>
      <c r="P75" s="2" t="s">
        <v>264</v>
      </c>
      <c r="Q75" s="2" t="s">
        <v>1075</v>
      </c>
      <c r="R75" s="2" t="s">
        <v>1076</v>
      </c>
      <c r="S75" s="2" t="s">
        <v>1106</v>
      </c>
      <c r="T75" s="2" t="s">
        <v>1078</v>
      </c>
      <c r="U75" s="2" t="s">
        <v>1107</v>
      </c>
      <c r="V75" s="2" t="s">
        <v>1080</v>
      </c>
      <c r="W75" s="2" t="s">
        <v>1108</v>
      </c>
    </row>
    <row r="76" spans="1:23" ht="66" customHeight="1" x14ac:dyDescent="0.25">
      <c r="A76" s="3" t="s">
        <v>1109</v>
      </c>
      <c r="B76" s="2" t="s">
        <v>1065</v>
      </c>
      <c r="C76" s="14" t="s">
        <v>1110</v>
      </c>
      <c r="D76" s="14" t="s">
        <v>1111</v>
      </c>
      <c r="E76" s="14" t="s">
        <v>1112</v>
      </c>
      <c r="F76" s="2" t="s">
        <v>1113</v>
      </c>
      <c r="G76" s="2" t="s">
        <v>1114</v>
      </c>
      <c r="H76" s="2" t="s">
        <v>1115</v>
      </c>
      <c r="I76" s="14" t="s">
        <v>241</v>
      </c>
      <c r="J76" s="14" t="s">
        <v>1116</v>
      </c>
      <c r="K76" s="14" t="s">
        <v>92</v>
      </c>
      <c r="L76" s="14" t="s">
        <v>113</v>
      </c>
      <c r="M76" s="2" t="s">
        <v>1117</v>
      </c>
      <c r="N76" s="2" t="s">
        <v>1118</v>
      </c>
      <c r="O76" s="2" t="s">
        <v>1119</v>
      </c>
      <c r="P76" s="2" t="s">
        <v>264</v>
      </c>
      <c r="Q76" s="2" t="s">
        <v>1075</v>
      </c>
      <c r="R76" s="2" t="s">
        <v>1076</v>
      </c>
      <c r="S76" s="2" t="s">
        <v>1120</v>
      </c>
      <c r="T76" s="2" t="s">
        <v>1078</v>
      </c>
      <c r="U76" s="2" t="s">
        <v>1121</v>
      </c>
      <c r="V76" s="2" t="s">
        <v>1080</v>
      </c>
      <c r="W76" s="2" t="s">
        <v>1122</v>
      </c>
    </row>
    <row r="77" spans="1:23" ht="66" customHeight="1" x14ac:dyDescent="0.25">
      <c r="A77" s="3" t="s">
        <v>1123</v>
      </c>
      <c r="B77" s="2" t="s">
        <v>1065</v>
      </c>
      <c r="C77" s="14" t="s">
        <v>1124</v>
      </c>
      <c r="D77" s="14" t="s">
        <v>1125</v>
      </c>
      <c r="E77" s="14" t="s">
        <v>256</v>
      </c>
      <c r="F77" s="2" t="s">
        <v>1126</v>
      </c>
      <c r="G77" s="2" t="s">
        <v>1127</v>
      </c>
      <c r="H77" s="2" t="s">
        <v>1128</v>
      </c>
      <c r="I77" s="14" t="s">
        <v>31</v>
      </c>
      <c r="J77" s="14" t="s">
        <v>91</v>
      </c>
      <c r="K77" s="14" t="s">
        <v>92</v>
      </c>
      <c r="L77" s="14" t="s">
        <v>93</v>
      </c>
      <c r="M77" s="2" t="s">
        <v>1129</v>
      </c>
      <c r="N77" s="2" t="s">
        <v>1130</v>
      </c>
      <c r="O77" s="2" t="s">
        <v>1131</v>
      </c>
      <c r="P77" s="2" t="s">
        <v>264</v>
      </c>
      <c r="Q77" s="2" t="s">
        <v>1075</v>
      </c>
      <c r="R77" s="2" t="s">
        <v>1076</v>
      </c>
      <c r="S77" s="2" t="s">
        <v>1132</v>
      </c>
      <c r="T77" s="2" t="s">
        <v>1078</v>
      </c>
      <c r="U77" s="2" t="s">
        <v>1133</v>
      </c>
      <c r="V77" s="2" t="s">
        <v>1080</v>
      </c>
      <c r="W77" s="2" t="s">
        <v>1134</v>
      </c>
    </row>
    <row r="78" spans="1:23" ht="66" customHeight="1" x14ac:dyDescent="0.25">
      <c r="A78" s="3" t="s">
        <v>1135</v>
      </c>
      <c r="B78" s="2" t="s">
        <v>1065</v>
      </c>
      <c r="C78" s="14" t="s">
        <v>1136</v>
      </c>
      <c r="D78" s="14" t="s">
        <v>1137</v>
      </c>
      <c r="E78" s="14" t="s">
        <v>107</v>
      </c>
      <c r="F78" s="2" t="s">
        <v>1138</v>
      </c>
      <c r="G78" s="2" t="s">
        <v>1139</v>
      </c>
      <c r="H78" s="2" t="s">
        <v>1140</v>
      </c>
      <c r="I78" s="14" t="s">
        <v>618</v>
      </c>
      <c r="J78" s="14" t="s">
        <v>877</v>
      </c>
      <c r="K78" s="14" t="s">
        <v>33</v>
      </c>
      <c r="L78" s="14" t="s">
        <v>54</v>
      </c>
      <c r="M78" s="2" t="s">
        <v>1141</v>
      </c>
      <c r="N78" s="2" t="s">
        <v>1142</v>
      </c>
      <c r="O78" s="2" t="s">
        <v>1143</v>
      </c>
      <c r="P78" s="2" t="s">
        <v>419</v>
      </c>
      <c r="Q78" s="2" t="s">
        <v>1075</v>
      </c>
      <c r="R78" s="2" t="s">
        <v>1076</v>
      </c>
      <c r="S78" s="2" t="s">
        <v>1144</v>
      </c>
      <c r="T78" s="2" t="s">
        <v>1078</v>
      </c>
      <c r="U78" s="2" t="s">
        <v>1145</v>
      </c>
      <c r="V78" s="2" t="s">
        <v>1080</v>
      </c>
      <c r="W78" s="2" t="s">
        <v>1146</v>
      </c>
    </row>
    <row r="79" spans="1:23" ht="66" customHeight="1" x14ac:dyDescent="0.25">
      <c r="A79" s="3" t="s">
        <v>1147</v>
      </c>
      <c r="B79" s="2" t="s">
        <v>1065</v>
      </c>
      <c r="C79" s="14" t="s">
        <v>1148</v>
      </c>
      <c r="D79" s="14" t="s">
        <v>1149</v>
      </c>
      <c r="E79" s="14" t="s">
        <v>1098</v>
      </c>
      <c r="F79" s="2" t="s">
        <v>1150</v>
      </c>
      <c r="G79" s="2" t="s">
        <v>1151</v>
      </c>
      <c r="H79" s="2" t="s">
        <v>1152</v>
      </c>
      <c r="I79" s="14" t="s">
        <v>241</v>
      </c>
      <c r="J79" s="14" t="s">
        <v>1116</v>
      </c>
      <c r="K79" s="14" t="s">
        <v>170</v>
      </c>
      <c r="L79" s="14" t="s">
        <v>113</v>
      </c>
      <c r="M79" s="2" t="s">
        <v>1153</v>
      </c>
      <c r="N79" s="2" t="s">
        <v>1154</v>
      </c>
      <c r="O79" s="2" t="s">
        <v>1155</v>
      </c>
      <c r="P79" s="2" t="s">
        <v>264</v>
      </c>
      <c r="Q79" s="2" t="s">
        <v>1075</v>
      </c>
      <c r="R79" s="2" t="s">
        <v>1076</v>
      </c>
      <c r="S79" s="2" t="s">
        <v>1156</v>
      </c>
      <c r="T79" s="2" t="s">
        <v>1078</v>
      </c>
      <c r="U79" s="2" t="s">
        <v>1157</v>
      </c>
      <c r="V79" s="2" t="s">
        <v>1080</v>
      </c>
      <c r="W79" s="2" t="s">
        <v>1158</v>
      </c>
    </row>
    <row r="80" spans="1:23" ht="66" customHeight="1" x14ac:dyDescent="0.25">
      <c r="A80" s="3" t="s">
        <v>1159</v>
      </c>
      <c r="B80" s="2" t="s">
        <v>1065</v>
      </c>
      <c r="C80" s="14" t="s">
        <v>1160</v>
      </c>
      <c r="D80" s="14" t="s">
        <v>1161</v>
      </c>
      <c r="E80" s="14" t="s">
        <v>107</v>
      </c>
      <c r="F80" s="2" t="s">
        <v>1162</v>
      </c>
      <c r="G80" s="2" t="s">
        <v>1163</v>
      </c>
      <c r="H80" s="2" t="s">
        <v>1164</v>
      </c>
      <c r="I80" s="14" t="s">
        <v>241</v>
      </c>
      <c r="J80" s="14" t="s">
        <v>1088</v>
      </c>
      <c r="K80" s="14" t="s">
        <v>170</v>
      </c>
      <c r="L80" s="14" t="s">
        <v>430</v>
      </c>
      <c r="M80" s="2" t="s">
        <v>1165</v>
      </c>
      <c r="N80" s="2" t="s">
        <v>1166</v>
      </c>
      <c r="O80" s="2" t="s">
        <v>1167</v>
      </c>
      <c r="P80" s="2" t="s">
        <v>117</v>
      </c>
      <c r="Q80" s="2" t="s">
        <v>1075</v>
      </c>
      <c r="R80" s="2" t="s">
        <v>1076</v>
      </c>
      <c r="S80" s="2" t="s">
        <v>1168</v>
      </c>
      <c r="T80" s="2" t="s">
        <v>1078</v>
      </c>
      <c r="U80" s="2" t="s">
        <v>1169</v>
      </c>
      <c r="V80" s="2" t="s">
        <v>1080</v>
      </c>
      <c r="W80" s="2" t="s">
        <v>1170</v>
      </c>
    </row>
    <row r="81" spans="1:23" ht="66" customHeight="1" x14ac:dyDescent="0.25">
      <c r="A81" s="3" t="s">
        <v>1171</v>
      </c>
      <c r="B81" s="2" t="s">
        <v>1065</v>
      </c>
      <c r="C81" s="14" t="s">
        <v>113</v>
      </c>
      <c r="D81" s="14" t="s">
        <v>1172</v>
      </c>
      <c r="E81" s="14" t="s">
        <v>87</v>
      </c>
      <c r="F81" s="2" t="s">
        <v>1173</v>
      </c>
      <c r="G81" s="2" t="s">
        <v>1174</v>
      </c>
      <c r="H81" s="2" t="s">
        <v>1175</v>
      </c>
      <c r="I81" s="14" t="s">
        <v>31</v>
      </c>
      <c r="J81" s="14" t="s">
        <v>260</v>
      </c>
      <c r="K81" s="14" t="s">
        <v>92</v>
      </c>
      <c r="L81" s="14" t="s">
        <v>113</v>
      </c>
      <c r="M81" s="2" t="s">
        <v>1176</v>
      </c>
      <c r="N81" s="2" t="s">
        <v>1177</v>
      </c>
      <c r="O81" s="2" t="s">
        <v>1178</v>
      </c>
      <c r="P81" s="2" t="s">
        <v>154</v>
      </c>
      <c r="Q81" s="2" t="s">
        <v>1179</v>
      </c>
      <c r="R81" s="2" t="s">
        <v>1180</v>
      </c>
      <c r="S81" s="2" t="s">
        <v>1181</v>
      </c>
      <c r="T81" s="2" t="s">
        <v>1182</v>
      </c>
      <c r="U81" s="2" t="s">
        <v>1183</v>
      </c>
      <c r="V81" s="2" t="s">
        <v>1184</v>
      </c>
      <c r="W81" s="2" t="s">
        <v>1185</v>
      </c>
    </row>
    <row r="82" spans="1:23" ht="66" customHeight="1" x14ac:dyDescent="0.25">
      <c r="A82" s="3" t="s">
        <v>1186</v>
      </c>
      <c r="B82" s="2" t="s">
        <v>1065</v>
      </c>
      <c r="C82" s="14" t="s">
        <v>430</v>
      </c>
      <c r="D82" s="14" t="s">
        <v>1187</v>
      </c>
      <c r="E82" s="14" t="s">
        <v>87</v>
      </c>
      <c r="F82" s="2" t="s">
        <v>1188</v>
      </c>
      <c r="G82" s="2" t="s">
        <v>1189</v>
      </c>
      <c r="H82" s="2" t="s">
        <v>1190</v>
      </c>
      <c r="I82" s="14" t="s">
        <v>31</v>
      </c>
      <c r="J82" s="14" t="s">
        <v>260</v>
      </c>
      <c r="K82" s="14" t="s">
        <v>92</v>
      </c>
      <c r="L82" s="14" t="s">
        <v>430</v>
      </c>
      <c r="M82" s="2" t="s">
        <v>1191</v>
      </c>
      <c r="N82" s="2" t="s">
        <v>1192</v>
      </c>
      <c r="O82" s="2" t="s">
        <v>1193</v>
      </c>
      <c r="P82" s="2" t="s">
        <v>154</v>
      </c>
      <c r="Q82" s="2" t="s">
        <v>1179</v>
      </c>
      <c r="R82" s="2" t="s">
        <v>1180</v>
      </c>
      <c r="S82" s="2" t="s">
        <v>1194</v>
      </c>
      <c r="T82" s="2" t="s">
        <v>1182</v>
      </c>
      <c r="U82" s="2" t="s">
        <v>1195</v>
      </c>
      <c r="V82" s="2" t="s">
        <v>1184</v>
      </c>
      <c r="W82" s="2" t="s">
        <v>1196</v>
      </c>
    </row>
    <row r="83" spans="1:23" ht="66" customHeight="1" x14ac:dyDescent="0.25">
      <c r="A83" s="3" t="s">
        <v>1197</v>
      </c>
      <c r="B83" s="2" t="s">
        <v>1065</v>
      </c>
      <c r="C83" s="14" t="s">
        <v>472</v>
      </c>
      <c r="D83" s="14" t="s">
        <v>1198</v>
      </c>
      <c r="E83" s="14" t="s">
        <v>87</v>
      </c>
      <c r="F83" s="2" t="s">
        <v>1199</v>
      </c>
      <c r="G83" s="2" t="s">
        <v>1200</v>
      </c>
      <c r="H83" s="2" t="s">
        <v>1201</v>
      </c>
      <c r="I83" s="14" t="s">
        <v>31</v>
      </c>
      <c r="J83" s="14" t="s">
        <v>1202</v>
      </c>
      <c r="K83" s="14" t="s">
        <v>170</v>
      </c>
      <c r="L83" s="14" t="s">
        <v>472</v>
      </c>
      <c r="M83" s="2" t="s">
        <v>1203</v>
      </c>
      <c r="N83" s="2" t="s">
        <v>1204</v>
      </c>
      <c r="O83" s="2" t="s">
        <v>1205</v>
      </c>
      <c r="P83" s="2" t="s">
        <v>154</v>
      </c>
      <c r="Q83" s="2" t="s">
        <v>1179</v>
      </c>
      <c r="R83" s="2" t="s">
        <v>1180</v>
      </c>
      <c r="S83" s="2" t="s">
        <v>1206</v>
      </c>
      <c r="T83" s="2" t="s">
        <v>1182</v>
      </c>
      <c r="U83" s="2" t="s">
        <v>1207</v>
      </c>
      <c r="V83" s="2" t="s">
        <v>1184</v>
      </c>
      <c r="W83" s="2" t="s">
        <v>1208</v>
      </c>
    </row>
    <row r="84" spans="1:23" ht="66" customHeight="1" x14ac:dyDescent="0.25">
      <c r="A84" s="3" t="s">
        <v>1209</v>
      </c>
      <c r="B84" s="2" t="s">
        <v>936</v>
      </c>
      <c r="C84" s="14" t="s">
        <v>1210</v>
      </c>
      <c r="D84" s="14" t="s">
        <v>1211</v>
      </c>
      <c r="E84" s="14" t="s">
        <v>87</v>
      </c>
      <c r="F84" s="2" t="s">
        <v>1212</v>
      </c>
      <c r="G84" s="2" t="s">
        <v>1213</v>
      </c>
      <c r="H84" s="2" t="s">
        <v>1214</v>
      </c>
      <c r="I84" s="14" t="s">
        <v>31</v>
      </c>
      <c r="J84" s="14" t="s">
        <v>91</v>
      </c>
      <c r="K84" s="14" t="s">
        <v>92</v>
      </c>
      <c r="L84" s="14" t="s">
        <v>1215</v>
      </c>
      <c r="M84" s="2" t="s">
        <v>1216</v>
      </c>
      <c r="N84" s="2" t="s">
        <v>1217</v>
      </c>
      <c r="O84" s="2" t="s">
        <v>1218</v>
      </c>
      <c r="P84" s="2" t="s">
        <v>76</v>
      </c>
      <c r="Q84" s="2" t="s">
        <v>1179</v>
      </c>
      <c r="R84" s="2" t="s">
        <v>1180</v>
      </c>
      <c r="S84" s="2" t="s">
        <v>1219</v>
      </c>
      <c r="T84" s="2" t="s">
        <v>1182</v>
      </c>
      <c r="U84" s="2" t="s">
        <v>1220</v>
      </c>
      <c r="V84" s="2" t="s">
        <v>1184</v>
      </c>
      <c r="W84" s="2" t="s">
        <v>1221</v>
      </c>
    </row>
    <row r="85" spans="1:23" ht="66" customHeight="1" x14ac:dyDescent="0.25">
      <c r="A85" s="3" t="s">
        <v>1222</v>
      </c>
      <c r="B85" s="2" t="s">
        <v>936</v>
      </c>
      <c r="C85" s="14" t="s">
        <v>1223</v>
      </c>
      <c r="D85" s="14" t="s">
        <v>1224</v>
      </c>
      <c r="E85" s="14" t="s">
        <v>87</v>
      </c>
      <c r="F85" s="2" t="s">
        <v>1225</v>
      </c>
      <c r="G85" s="2" t="s">
        <v>1226</v>
      </c>
      <c r="H85" s="2" t="s">
        <v>1227</v>
      </c>
      <c r="I85" s="14" t="s">
        <v>31</v>
      </c>
      <c r="J85" s="14" t="s">
        <v>1202</v>
      </c>
      <c r="K85" s="14" t="s">
        <v>33</v>
      </c>
      <c r="L85" s="14" t="s">
        <v>93</v>
      </c>
      <c r="M85" s="2" t="s">
        <v>1228</v>
      </c>
      <c r="N85" s="2" t="s">
        <v>1229</v>
      </c>
      <c r="O85" s="2" t="s">
        <v>1230</v>
      </c>
      <c r="P85" s="2" t="s">
        <v>38</v>
      </c>
      <c r="Q85" s="2" t="s">
        <v>1179</v>
      </c>
      <c r="R85" s="2" t="s">
        <v>1180</v>
      </c>
      <c r="S85" s="2" t="s">
        <v>1231</v>
      </c>
      <c r="T85" s="2" t="s">
        <v>1182</v>
      </c>
      <c r="U85" s="2" t="s">
        <v>1232</v>
      </c>
      <c r="V85" s="2" t="s">
        <v>1184</v>
      </c>
      <c r="W85" s="2" t="s">
        <v>1233</v>
      </c>
    </row>
    <row r="86" spans="1:23" ht="66" customHeight="1" x14ac:dyDescent="0.25">
      <c r="A86" s="3" t="s">
        <v>1234</v>
      </c>
      <c r="B86" s="2" t="s">
        <v>936</v>
      </c>
      <c r="C86" s="14" t="s">
        <v>1235</v>
      </c>
      <c r="D86" s="14" t="s">
        <v>1236</v>
      </c>
      <c r="E86" s="14" t="s">
        <v>1237</v>
      </c>
      <c r="F86" s="2" t="s">
        <v>1238</v>
      </c>
      <c r="G86" s="2" t="s">
        <v>1239</v>
      </c>
      <c r="H86" s="2" t="s">
        <v>1240</v>
      </c>
      <c r="I86" s="14" t="s">
        <v>31</v>
      </c>
      <c r="J86" s="14" t="s">
        <v>1241</v>
      </c>
      <c r="K86" s="14" t="s">
        <v>170</v>
      </c>
      <c r="L86" s="14" t="s">
        <v>113</v>
      </c>
      <c r="M86" s="2" t="s">
        <v>1242</v>
      </c>
      <c r="N86" s="2" t="s">
        <v>1243</v>
      </c>
      <c r="O86" s="2" t="s">
        <v>1244</v>
      </c>
      <c r="P86" s="2" t="s">
        <v>336</v>
      </c>
      <c r="Q86" s="2" t="s">
        <v>1179</v>
      </c>
      <c r="R86" s="2" t="s">
        <v>1180</v>
      </c>
      <c r="S86" s="2" t="s">
        <v>1245</v>
      </c>
      <c r="T86" s="2" t="s">
        <v>1182</v>
      </c>
      <c r="U86" s="2" t="s">
        <v>1246</v>
      </c>
      <c r="V86" s="2" t="s">
        <v>1184</v>
      </c>
      <c r="W86" s="2" t="s">
        <v>1247</v>
      </c>
    </row>
    <row r="87" spans="1:23" ht="66" customHeight="1" x14ac:dyDescent="0.25">
      <c r="A87" s="3" t="s">
        <v>1248</v>
      </c>
      <c r="B87" s="2" t="s">
        <v>936</v>
      </c>
      <c r="C87" s="14" t="s">
        <v>1249</v>
      </c>
      <c r="D87" s="14" t="s">
        <v>1250</v>
      </c>
      <c r="E87" s="14" t="s">
        <v>328</v>
      </c>
      <c r="F87" s="2" t="s">
        <v>1251</v>
      </c>
      <c r="G87" s="2" t="s">
        <v>1252</v>
      </c>
      <c r="H87" s="2" t="s">
        <v>1253</v>
      </c>
      <c r="I87" s="14" t="s">
        <v>241</v>
      </c>
      <c r="J87" s="14" t="s">
        <v>1254</v>
      </c>
      <c r="K87" s="14" t="s">
        <v>170</v>
      </c>
      <c r="L87" s="14" t="s">
        <v>113</v>
      </c>
      <c r="M87" s="2" t="s">
        <v>1255</v>
      </c>
      <c r="N87" s="2" t="s">
        <v>1256</v>
      </c>
      <c r="O87" s="2" t="s">
        <v>1257</v>
      </c>
      <c r="P87" s="2" t="s">
        <v>336</v>
      </c>
      <c r="Q87" s="2" t="s">
        <v>1179</v>
      </c>
      <c r="R87" s="2" t="s">
        <v>1180</v>
      </c>
      <c r="S87" s="2" t="s">
        <v>1258</v>
      </c>
      <c r="T87" s="2" t="s">
        <v>1182</v>
      </c>
      <c r="U87" s="2" t="s">
        <v>1259</v>
      </c>
      <c r="V87" s="2" t="s">
        <v>1184</v>
      </c>
      <c r="W87" s="2" t="s">
        <v>1260</v>
      </c>
    </row>
    <row r="88" spans="1:23" ht="66" customHeight="1" x14ac:dyDescent="0.25">
      <c r="A88" s="3" t="s">
        <v>1261</v>
      </c>
      <c r="B88" s="2" t="s">
        <v>936</v>
      </c>
      <c r="C88" s="14" t="s">
        <v>1262</v>
      </c>
      <c r="D88" s="14" t="s">
        <v>1263</v>
      </c>
      <c r="E88" s="14" t="s">
        <v>128</v>
      </c>
      <c r="F88" s="2" t="s">
        <v>1264</v>
      </c>
      <c r="G88" s="2" t="s">
        <v>1265</v>
      </c>
      <c r="H88" s="2" t="s">
        <v>1266</v>
      </c>
      <c r="I88" s="14" t="s">
        <v>31</v>
      </c>
      <c r="J88" s="14" t="s">
        <v>1008</v>
      </c>
      <c r="K88" s="14" t="s">
        <v>92</v>
      </c>
      <c r="L88" s="14" t="s">
        <v>113</v>
      </c>
      <c r="M88" s="2" t="s">
        <v>1267</v>
      </c>
      <c r="N88" s="2" t="s">
        <v>1268</v>
      </c>
      <c r="O88" s="2" t="s">
        <v>1269</v>
      </c>
      <c r="P88" s="2" t="s">
        <v>336</v>
      </c>
      <c r="Q88" s="2" t="s">
        <v>1179</v>
      </c>
      <c r="R88" s="2" t="s">
        <v>1180</v>
      </c>
      <c r="S88" s="2" t="s">
        <v>1270</v>
      </c>
      <c r="T88" s="2" t="s">
        <v>1182</v>
      </c>
      <c r="U88" s="2" t="s">
        <v>1271</v>
      </c>
      <c r="V88" s="2" t="s">
        <v>1184</v>
      </c>
      <c r="W88" s="2" t="s">
        <v>1272</v>
      </c>
    </row>
    <row r="89" spans="1:23" ht="66" customHeight="1" x14ac:dyDescent="0.25">
      <c r="A89" s="3" t="s">
        <v>1273</v>
      </c>
      <c r="B89" s="2" t="s">
        <v>936</v>
      </c>
      <c r="C89" s="14" t="s">
        <v>1274</v>
      </c>
      <c r="D89" s="14" t="s">
        <v>1275</v>
      </c>
      <c r="E89" s="14" t="s">
        <v>1237</v>
      </c>
      <c r="F89" s="2" t="s">
        <v>1276</v>
      </c>
      <c r="G89" s="2" t="s">
        <v>1277</v>
      </c>
      <c r="H89" s="2" t="s">
        <v>1278</v>
      </c>
      <c r="I89" s="14" t="s">
        <v>31</v>
      </c>
      <c r="J89" s="14" t="s">
        <v>1279</v>
      </c>
      <c r="K89" s="14" t="s">
        <v>170</v>
      </c>
      <c r="L89" s="14" t="s">
        <v>113</v>
      </c>
      <c r="M89" s="2" t="s">
        <v>1280</v>
      </c>
      <c r="N89" s="2" t="s">
        <v>1281</v>
      </c>
      <c r="O89" s="2" t="s">
        <v>1282</v>
      </c>
      <c r="P89" s="2" t="s">
        <v>76</v>
      </c>
      <c r="Q89" s="2" t="s">
        <v>1179</v>
      </c>
      <c r="R89" s="2" t="s">
        <v>1180</v>
      </c>
      <c r="S89" s="2" t="s">
        <v>1283</v>
      </c>
      <c r="T89" s="2" t="s">
        <v>1182</v>
      </c>
      <c r="U89" s="2" t="s">
        <v>1284</v>
      </c>
      <c r="V89" s="2" t="s">
        <v>1184</v>
      </c>
      <c r="W89" s="2" t="s">
        <v>1285</v>
      </c>
    </row>
    <row r="90" spans="1:23" ht="66" customHeight="1" x14ac:dyDescent="0.25">
      <c r="A90" s="3" t="s">
        <v>1286</v>
      </c>
      <c r="B90" s="2" t="s">
        <v>936</v>
      </c>
      <c r="C90" s="14" t="s">
        <v>1287</v>
      </c>
      <c r="D90" s="14" t="s">
        <v>1288</v>
      </c>
      <c r="E90" s="14" t="s">
        <v>128</v>
      </c>
      <c r="F90" s="2" t="s">
        <v>1289</v>
      </c>
      <c r="G90" s="2" t="s">
        <v>1290</v>
      </c>
      <c r="H90" s="2" t="s">
        <v>1291</v>
      </c>
      <c r="I90" s="14" t="s">
        <v>31</v>
      </c>
      <c r="J90" s="14" t="s">
        <v>1292</v>
      </c>
      <c r="K90" s="14" t="s">
        <v>170</v>
      </c>
      <c r="L90" s="14" t="s">
        <v>113</v>
      </c>
      <c r="M90" s="2" t="s">
        <v>1293</v>
      </c>
      <c r="N90" s="2" t="s">
        <v>1294</v>
      </c>
      <c r="O90" s="2" t="s">
        <v>1295</v>
      </c>
      <c r="P90" s="2" t="s">
        <v>462</v>
      </c>
      <c r="Q90" s="2" t="s">
        <v>1179</v>
      </c>
      <c r="R90" s="2" t="s">
        <v>1180</v>
      </c>
      <c r="S90" s="2" t="s">
        <v>1296</v>
      </c>
      <c r="T90" s="2" t="s">
        <v>1182</v>
      </c>
      <c r="U90" s="2" t="s">
        <v>1297</v>
      </c>
      <c r="V90" s="2" t="s">
        <v>1184</v>
      </c>
      <c r="W90" s="2" t="s">
        <v>1298</v>
      </c>
    </row>
    <row r="91" spans="1:23" ht="66" customHeight="1" x14ac:dyDescent="0.25">
      <c r="A91" s="3" t="s">
        <v>1299</v>
      </c>
      <c r="B91" s="2" t="s">
        <v>936</v>
      </c>
      <c r="C91" s="14" t="s">
        <v>1300</v>
      </c>
      <c r="D91" s="14" t="s">
        <v>1301</v>
      </c>
      <c r="E91" s="14" t="s">
        <v>128</v>
      </c>
      <c r="F91" s="2" t="s">
        <v>1302</v>
      </c>
      <c r="G91" s="2" t="s">
        <v>1303</v>
      </c>
      <c r="H91" s="2" t="s">
        <v>1304</v>
      </c>
      <c r="I91" s="14" t="s">
        <v>31</v>
      </c>
      <c r="J91" s="14" t="s">
        <v>1305</v>
      </c>
      <c r="K91" s="14" t="s">
        <v>170</v>
      </c>
      <c r="L91" s="14" t="s">
        <v>113</v>
      </c>
      <c r="M91" s="2" t="s">
        <v>1306</v>
      </c>
      <c r="N91" s="2" t="s">
        <v>1307</v>
      </c>
      <c r="O91" s="2" t="s">
        <v>1308</v>
      </c>
      <c r="P91" s="2" t="s">
        <v>264</v>
      </c>
      <c r="Q91" s="2" t="s">
        <v>1179</v>
      </c>
      <c r="R91" s="2" t="s">
        <v>1180</v>
      </c>
      <c r="S91" s="2" t="s">
        <v>1309</v>
      </c>
      <c r="T91" s="2" t="s">
        <v>1182</v>
      </c>
      <c r="U91" s="2" t="s">
        <v>1310</v>
      </c>
      <c r="V91" s="2" t="s">
        <v>1184</v>
      </c>
      <c r="W91" s="2" t="s">
        <v>1311</v>
      </c>
    </row>
    <row r="92" spans="1:23" ht="66" customHeight="1" x14ac:dyDescent="0.25">
      <c r="A92" s="3" t="s">
        <v>1312</v>
      </c>
      <c r="B92" s="2" t="s">
        <v>936</v>
      </c>
      <c r="C92" s="14" t="s">
        <v>1313</v>
      </c>
      <c r="D92" s="14" t="s">
        <v>1314</v>
      </c>
      <c r="E92" s="14" t="s">
        <v>128</v>
      </c>
      <c r="F92" s="2" t="s">
        <v>1315</v>
      </c>
      <c r="G92" s="2" t="s">
        <v>1316</v>
      </c>
      <c r="H92" s="2" t="s">
        <v>1317</v>
      </c>
      <c r="I92" s="14" t="s">
        <v>618</v>
      </c>
      <c r="J92" s="14" t="s">
        <v>1318</v>
      </c>
      <c r="K92" s="14" t="s">
        <v>92</v>
      </c>
      <c r="L92" s="14" t="s">
        <v>113</v>
      </c>
      <c r="M92" s="2" t="s">
        <v>1319</v>
      </c>
      <c r="N92" s="2" t="s">
        <v>1320</v>
      </c>
      <c r="O92" s="2" t="s">
        <v>1321</v>
      </c>
      <c r="P92" s="2" t="s">
        <v>419</v>
      </c>
      <c r="Q92" s="2" t="s">
        <v>1179</v>
      </c>
      <c r="R92" s="2" t="s">
        <v>1180</v>
      </c>
      <c r="S92" s="2" t="s">
        <v>1322</v>
      </c>
      <c r="T92" s="2" t="s">
        <v>1182</v>
      </c>
      <c r="U92" s="2" t="s">
        <v>1323</v>
      </c>
      <c r="V92" s="2" t="s">
        <v>1184</v>
      </c>
      <c r="W92" s="2" t="s">
        <v>1324</v>
      </c>
    </row>
    <row r="93" spans="1:23" ht="66" customHeight="1" x14ac:dyDescent="0.25">
      <c r="A93" s="3" t="s">
        <v>1325</v>
      </c>
      <c r="B93" s="2" t="s">
        <v>936</v>
      </c>
      <c r="C93" s="14" t="s">
        <v>1326</v>
      </c>
      <c r="D93" s="14" t="s">
        <v>1327</v>
      </c>
      <c r="E93" s="14" t="s">
        <v>1328</v>
      </c>
      <c r="F93" s="2" t="s">
        <v>1329</v>
      </c>
      <c r="G93" s="2" t="s">
        <v>1330</v>
      </c>
      <c r="H93" s="2" t="s">
        <v>1331</v>
      </c>
      <c r="I93" s="14" t="s">
        <v>1332</v>
      </c>
      <c r="J93" s="14" t="s">
        <v>1333</v>
      </c>
      <c r="K93" s="14" t="s">
        <v>33</v>
      </c>
      <c r="L93" s="14" t="s">
        <v>113</v>
      </c>
      <c r="M93" s="2" t="s">
        <v>1334</v>
      </c>
      <c r="N93" s="2" t="s">
        <v>1335</v>
      </c>
      <c r="O93" s="2" t="s">
        <v>1336</v>
      </c>
      <c r="P93" s="2" t="s">
        <v>355</v>
      </c>
      <c r="Q93" s="2" t="s">
        <v>1179</v>
      </c>
      <c r="R93" s="2" t="s">
        <v>1180</v>
      </c>
      <c r="S93" s="2" t="s">
        <v>1337</v>
      </c>
      <c r="T93" s="2" t="s">
        <v>1182</v>
      </c>
      <c r="U93" s="2" t="s">
        <v>1338</v>
      </c>
      <c r="V93" s="2" t="s">
        <v>1184</v>
      </c>
      <c r="W93" s="2" t="s">
        <v>1339</v>
      </c>
    </row>
    <row r="94" spans="1:23" ht="66" customHeight="1" x14ac:dyDescent="0.25">
      <c r="A94" s="3" t="s">
        <v>1340</v>
      </c>
      <c r="B94" s="2" t="s">
        <v>936</v>
      </c>
      <c r="C94" s="14" t="s">
        <v>1341</v>
      </c>
      <c r="D94" s="14" t="s">
        <v>1342</v>
      </c>
      <c r="E94" s="14" t="s">
        <v>1328</v>
      </c>
      <c r="F94" s="2" t="s">
        <v>1343</v>
      </c>
      <c r="G94" s="2" t="s">
        <v>1344</v>
      </c>
      <c r="H94" s="2" t="s">
        <v>1345</v>
      </c>
      <c r="I94" s="14" t="s">
        <v>1332</v>
      </c>
      <c r="J94" s="14" t="s">
        <v>1346</v>
      </c>
      <c r="K94" s="14" t="s">
        <v>33</v>
      </c>
      <c r="L94" s="14" t="s">
        <v>113</v>
      </c>
      <c r="M94" s="2" t="s">
        <v>1347</v>
      </c>
      <c r="N94" s="2" t="s">
        <v>1348</v>
      </c>
      <c r="O94" s="2" t="s">
        <v>1349</v>
      </c>
      <c r="P94" s="2" t="s">
        <v>355</v>
      </c>
      <c r="Q94" s="2" t="s">
        <v>1179</v>
      </c>
      <c r="R94" s="2" t="s">
        <v>1180</v>
      </c>
      <c r="S94" s="2" t="s">
        <v>1350</v>
      </c>
      <c r="T94" s="2" t="s">
        <v>1182</v>
      </c>
      <c r="U94" s="2" t="s">
        <v>1351</v>
      </c>
      <c r="V94" s="2" t="s">
        <v>1184</v>
      </c>
      <c r="W94" s="2" t="s">
        <v>1352</v>
      </c>
    </row>
    <row r="95" spans="1:23" ht="66" customHeight="1" x14ac:dyDescent="0.25">
      <c r="A95" s="3" t="s">
        <v>1353</v>
      </c>
      <c r="B95" s="2" t="s">
        <v>936</v>
      </c>
      <c r="C95" s="14" t="s">
        <v>1354</v>
      </c>
      <c r="D95" s="14" t="s">
        <v>1355</v>
      </c>
      <c r="E95" s="14" t="s">
        <v>1328</v>
      </c>
      <c r="F95" s="2" t="s">
        <v>1356</v>
      </c>
      <c r="G95" s="2" t="s">
        <v>1357</v>
      </c>
      <c r="H95" s="2" t="s">
        <v>1358</v>
      </c>
      <c r="I95" s="14" t="s">
        <v>31</v>
      </c>
      <c r="J95" s="14" t="s">
        <v>1359</v>
      </c>
      <c r="K95" s="14" t="s">
        <v>33</v>
      </c>
      <c r="L95" s="14" t="s">
        <v>113</v>
      </c>
      <c r="M95" s="2" t="s">
        <v>1360</v>
      </c>
      <c r="N95" s="2" t="s">
        <v>1361</v>
      </c>
      <c r="O95" s="2" t="s">
        <v>1362</v>
      </c>
      <c r="P95" s="2" t="s">
        <v>462</v>
      </c>
      <c r="Q95" s="2" t="s">
        <v>1179</v>
      </c>
      <c r="R95" s="2" t="s">
        <v>1180</v>
      </c>
      <c r="S95" s="2" t="s">
        <v>1363</v>
      </c>
      <c r="T95" s="2" t="s">
        <v>1182</v>
      </c>
      <c r="U95" s="2" t="s">
        <v>1364</v>
      </c>
      <c r="V95" s="2" t="s">
        <v>1184</v>
      </c>
      <c r="W95" s="2" t="s">
        <v>1365</v>
      </c>
    </row>
    <row r="96" spans="1:23" ht="66" customHeight="1" x14ac:dyDescent="0.25">
      <c r="A96" s="3" t="s">
        <v>1366</v>
      </c>
      <c r="B96" s="2" t="s">
        <v>936</v>
      </c>
      <c r="C96" s="14" t="s">
        <v>1367</v>
      </c>
      <c r="D96" s="14" t="s">
        <v>1368</v>
      </c>
      <c r="E96" s="14" t="s">
        <v>275</v>
      </c>
      <c r="F96" s="2" t="s">
        <v>1369</v>
      </c>
      <c r="G96" s="2" t="s">
        <v>1370</v>
      </c>
      <c r="H96" s="2" t="s">
        <v>1371</v>
      </c>
      <c r="I96" s="14" t="s">
        <v>31</v>
      </c>
      <c r="J96" s="14" t="s">
        <v>279</v>
      </c>
      <c r="K96" s="14" t="s">
        <v>92</v>
      </c>
      <c r="L96" s="14" t="s">
        <v>1215</v>
      </c>
      <c r="M96" s="2" t="s">
        <v>1372</v>
      </c>
      <c r="N96" s="2" t="s">
        <v>1373</v>
      </c>
      <c r="O96" s="2" t="s">
        <v>1374</v>
      </c>
      <c r="P96" s="2" t="s">
        <v>227</v>
      </c>
      <c r="Q96" s="2" t="s">
        <v>1179</v>
      </c>
      <c r="R96" s="2" t="s">
        <v>1180</v>
      </c>
      <c r="S96" s="2" t="s">
        <v>1375</v>
      </c>
      <c r="T96" s="2" t="s">
        <v>1182</v>
      </c>
      <c r="U96" s="2" t="s">
        <v>1376</v>
      </c>
      <c r="V96" s="2" t="s">
        <v>1184</v>
      </c>
      <c r="W96" s="2" t="s">
        <v>1377</v>
      </c>
    </row>
    <row r="97" spans="1:23" ht="66" customHeight="1" x14ac:dyDescent="0.25">
      <c r="A97" s="3" t="s">
        <v>1378</v>
      </c>
      <c r="B97" s="2" t="s">
        <v>936</v>
      </c>
      <c r="C97" s="14" t="s">
        <v>1379</v>
      </c>
      <c r="D97" s="14" t="s">
        <v>1380</v>
      </c>
      <c r="E97" s="14" t="s">
        <v>87</v>
      </c>
      <c r="F97" s="2" t="s">
        <v>1381</v>
      </c>
      <c r="G97" s="2" t="s">
        <v>1382</v>
      </c>
      <c r="H97" s="2" t="s">
        <v>1383</v>
      </c>
      <c r="I97" s="14" t="s">
        <v>31</v>
      </c>
      <c r="J97" s="14" t="s">
        <v>260</v>
      </c>
      <c r="K97" s="14" t="s">
        <v>170</v>
      </c>
      <c r="L97" s="14" t="s">
        <v>93</v>
      </c>
      <c r="M97" s="2" t="s">
        <v>1384</v>
      </c>
      <c r="N97" s="2" t="s">
        <v>1385</v>
      </c>
      <c r="O97" s="2" t="s">
        <v>1386</v>
      </c>
      <c r="P97" s="2" t="s">
        <v>154</v>
      </c>
      <c r="Q97" s="2" t="s">
        <v>1179</v>
      </c>
      <c r="R97" s="2" t="s">
        <v>1180</v>
      </c>
      <c r="S97" s="2" t="s">
        <v>1387</v>
      </c>
      <c r="T97" s="2" t="s">
        <v>1182</v>
      </c>
      <c r="U97" s="2" t="s">
        <v>1388</v>
      </c>
      <c r="V97" s="2" t="s">
        <v>1184</v>
      </c>
      <c r="W97" s="2" t="s">
        <v>1389</v>
      </c>
    </row>
    <row r="98" spans="1:23" ht="66" customHeight="1" x14ac:dyDescent="0.25">
      <c r="A98" s="3" t="s">
        <v>1390</v>
      </c>
      <c r="B98" s="2" t="s">
        <v>936</v>
      </c>
      <c r="C98" s="14" t="s">
        <v>1391</v>
      </c>
      <c r="D98" s="14" t="s">
        <v>1392</v>
      </c>
      <c r="E98" s="14" t="s">
        <v>146</v>
      </c>
      <c r="F98" s="2" t="s">
        <v>1393</v>
      </c>
      <c r="G98" s="2" t="s">
        <v>1394</v>
      </c>
      <c r="H98" s="2" t="s">
        <v>1395</v>
      </c>
      <c r="I98" s="14" t="s">
        <v>31</v>
      </c>
      <c r="J98" s="14" t="s">
        <v>169</v>
      </c>
      <c r="K98" s="14" t="s">
        <v>92</v>
      </c>
      <c r="L98" s="14" t="s">
        <v>430</v>
      </c>
      <c r="M98" s="2" t="s">
        <v>1396</v>
      </c>
      <c r="N98" s="2" t="s">
        <v>1397</v>
      </c>
      <c r="O98" s="2" t="s">
        <v>1398</v>
      </c>
      <c r="P98" s="2" t="s">
        <v>264</v>
      </c>
      <c r="Q98" s="2" t="s">
        <v>1179</v>
      </c>
      <c r="R98" s="2" t="s">
        <v>1180</v>
      </c>
      <c r="S98" s="2" t="s">
        <v>1399</v>
      </c>
      <c r="T98" s="2" t="s">
        <v>1182</v>
      </c>
      <c r="U98" s="2" t="s">
        <v>1400</v>
      </c>
      <c r="V98" s="2" t="s">
        <v>1184</v>
      </c>
      <c r="W98" s="2" t="s">
        <v>1401</v>
      </c>
    </row>
    <row r="99" spans="1:23" ht="66" customHeight="1" x14ac:dyDescent="0.25">
      <c r="A99" s="3" t="s">
        <v>1402</v>
      </c>
      <c r="B99" s="2" t="s">
        <v>936</v>
      </c>
      <c r="C99" s="14" t="s">
        <v>1403</v>
      </c>
      <c r="D99" s="14" t="s">
        <v>1404</v>
      </c>
      <c r="E99" s="14" t="s">
        <v>1405</v>
      </c>
      <c r="F99" s="2" t="s">
        <v>1406</v>
      </c>
      <c r="G99" s="2" t="s">
        <v>1407</v>
      </c>
      <c r="H99" s="2" t="s">
        <v>1408</v>
      </c>
      <c r="I99" s="14" t="s">
        <v>31</v>
      </c>
      <c r="J99" s="14" t="s">
        <v>826</v>
      </c>
      <c r="K99" s="14" t="s">
        <v>33</v>
      </c>
      <c r="L99" s="14" t="s">
        <v>34</v>
      </c>
      <c r="M99" s="2" t="s">
        <v>1409</v>
      </c>
      <c r="N99" s="2" t="s">
        <v>1410</v>
      </c>
      <c r="O99" s="2" t="s">
        <v>1411</v>
      </c>
      <c r="P99" s="2" t="s">
        <v>154</v>
      </c>
      <c r="Q99" s="2" t="s">
        <v>1179</v>
      </c>
      <c r="R99" s="2" t="s">
        <v>1180</v>
      </c>
      <c r="S99" s="2" t="s">
        <v>1412</v>
      </c>
      <c r="T99" s="2" t="s">
        <v>1182</v>
      </c>
      <c r="U99" s="2" t="s">
        <v>1413</v>
      </c>
      <c r="V99" s="2" t="s">
        <v>1184</v>
      </c>
      <c r="W99" s="2" t="s">
        <v>1414</v>
      </c>
    </row>
    <row r="100" spans="1:23" ht="66" customHeight="1" x14ac:dyDescent="0.25">
      <c r="A100" s="3" t="s">
        <v>1415</v>
      </c>
      <c r="B100" s="2" t="s">
        <v>936</v>
      </c>
      <c r="C100" s="14" t="s">
        <v>1416</v>
      </c>
      <c r="D100" s="14" t="s">
        <v>1417</v>
      </c>
      <c r="E100" s="14" t="s">
        <v>165</v>
      </c>
      <c r="F100" s="2" t="s">
        <v>1418</v>
      </c>
      <c r="G100" s="2" t="s">
        <v>1419</v>
      </c>
      <c r="H100" s="2" t="s">
        <v>1420</v>
      </c>
      <c r="I100" s="14" t="s">
        <v>31</v>
      </c>
      <c r="J100" s="14" t="s">
        <v>169</v>
      </c>
      <c r="K100" s="14" t="s">
        <v>92</v>
      </c>
      <c r="L100" s="14" t="s">
        <v>93</v>
      </c>
      <c r="M100" s="2" t="s">
        <v>1421</v>
      </c>
      <c r="N100" s="2" t="s">
        <v>1422</v>
      </c>
      <c r="O100" s="2" t="s">
        <v>1423</v>
      </c>
      <c r="P100" s="2" t="s">
        <v>76</v>
      </c>
      <c r="Q100" s="2" t="s">
        <v>1179</v>
      </c>
      <c r="R100" s="2" t="s">
        <v>1180</v>
      </c>
      <c r="S100" s="2" t="s">
        <v>1424</v>
      </c>
      <c r="T100" s="2" t="s">
        <v>1182</v>
      </c>
      <c r="U100" s="2" t="s">
        <v>1425</v>
      </c>
      <c r="V100" s="2" t="s">
        <v>1184</v>
      </c>
      <c r="W100" s="2" t="s">
        <v>1426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tabColor rgb="FFA5A5A5"/>
  </sheetPr>
  <dimension ref="A1:F13"/>
  <sheetViews>
    <sheetView showGridLines="0" workbookViewId="0">
      <selection activeCell="F6" sqref="F6"/>
    </sheetView>
  </sheetViews>
  <sheetFormatPr baseColWidth="10" defaultColWidth="9.140625" defaultRowHeight="15.75" x14ac:dyDescent="0.25"/>
  <cols>
    <col min="1" max="1" width="38.5703125" style="4" customWidth="1"/>
    <col min="2" max="2" width="42.85546875" style="4" customWidth="1"/>
    <col min="3" max="3" width="45.140625" style="4" customWidth="1"/>
    <col min="4" max="4" width="75.28515625" style="4" customWidth="1"/>
    <col min="5" max="5" width="36.28515625" style="4" customWidth="1"/>
    <col min="6" max="16384" width="9.140625" style="4"/>
  </cols>
  <sheetData>
    <row r="1" spans="1:6" ht="30" customHeight="1" x14ac:dyDescent="0.25">
      <c r="A1" s="796" t="s">
        <v>2062</v>
      </c>
      <c r="B1" s="797"/>
      <c r="C1" s="797"/>
      <c r="D1" s="797"/>
      <c r="E1" s="798"/>
    </row>
    <row r="2" spans="1:6" ht="42" customHeight="1" x14ac:dyDescent="0.25">
      <c r="A2" s="13" t="s">
        <v>2063</v>
      </c>
      <c r="D2" s="98" t="s">
        <v>2829</v>
      </c>
    </row>
    <row r="3" spans="1:6" ht="38.1" customHeight="1" x14ac:dyDescent="0.25">
      <c r="A3" s="277" t="s">
        <v>2064</v>
      </c>
      <c r="B3" s="277" t="s">
        <v>2065</v>
      </c>
      <c r="C3" s="277" t="s">
        <v>2066</v>
      </c>
      <c r="D3" s="277" t="s">
        <v>2067</v>
      </c>
      <c r="E3" s="277" t="s">
        <v>2068</v>
      </c>
      <c r="F3" s="768" t="s">
        <v>4701</v>
      </c>
    </row>
    <row r="4" spans="1:6" ht="50.1" customHeight="1" x14ac:dyDescent="0.25">
      <c r="A4" s="5" t="s">
        <v>2069</v>
      </c>
      <c r="B4" s="5" t="s">
        <v>2070</v>
      </c>
      <c r="C4" s="5" t="s">
        <v>2071</v>
      </c>
      <c r="D4" s="7" t="s">
        <v>2072</v>
      </c>
      <c r="E4" s="5" t="s">
        <v>2073</v>
      </c>
    </row>
    <row r="5" spans="1:6" ht="50.1" customHeight="1" x14ac:dyDescent="0.25">
      <c r="A5" s="5" t="s">
        <v>2074</v>
      </c>
      <c r="B5" s="5" t="s">
        <v>2075</v>
      </c>
      <c r="C5" s="5" t="s">
        <v>2076</v>
      </c>
      <c r="D5" s="7" t="s">
        <v>1461</v>
      </c>
      <c r="E5" s="5" t="s">
        <v>2077</v>
      </c>
    </row>
    <row r="6" spans="1:6" ht="50.1" customHeight="1" x14ac:dyDescent="0.25">
      <c r="A6" s="5" t="s">
        <v>2078</v>
      </c>
      <c r="B6" s="5" t="s">
        <v>2079</v>
      </c>
      <c r="C6" s="5" t="s">
        <v>2080</v>
      </c>
      <c r="D6" s="7" t="s">
        <v>1451</v>
      </c>
      <c r="E6" s="5" t="s">
        <v>2081</v>
      </c>
    </row>
    <row r="7" spans="1:6" ht="50.1" customHeight="1" x14ac:dyDescent="0.25">
      <c r="A7" s="5" t="s">
        <v>2082</v>
      </c>
      <c r="B7" s="5" t="s">
        <v>2083</v>
      </c>
      <c r="C7" s="5" t="s">
        <v>2084</v>
      </c>
      <c r="D7" s="7" t="s">
        <v>2085</v>
      </c>
      <c r="E7" s="5" t="s">
        <v>2086</v>
      </c>
    </row>
    <row r="8" spans="1:6" ht="50.1" customHeight="1" x14ac:dyDescent="0.25">
      <c r="A8" s="5" t="s">
        <v>2087</v>
      </c>
      <c r="B8" s="5" t="s">
        <v>2088</v>
      </c>
      <c r="C8" s="5" t="s">
        <v>2089</v>
      </c>
      <c r="D8" s="7" t="s">
        <v>1481</v>
      </c>
      <c r="E8" s="5" t="s">
        <v>2090</v>
      </c>
    </row>
    <row r="9" spans="1:6" ht="50.1" customHeight="1" x14ac:dyDescent="0.25">
      <c r="A9" s="5" t="s">
        <v>2091</v>
      </c>
      <c r="B9" s="5" t="s">
        <v>2092</v>
      </c>
      <c r="C9" s="5" t="s">
        <v>2093</v>
      </c>
      <c r="D9" s="7" t="s">
        <v>1502</v>
      </c>
      <c r="E9" s="5" t="s">
        <v>2094</v>
      </c>
    </row>
    <row r="10" spans="1:6" ht="50.1" customHeight="1" x14ac:dyDescent="0.25">
      <c r="A10" s="5" t="s">
        <v>2095</v>
      </c>
      <c r="B10" s="5" t="s">
        <v>2096</v>
      </c>
      <c r="C10" s="5" t="s">
        <v>2097</v>
      </c>
      <c r="D10" s="7" t="s">
        <v>2098</v>
      </c>
      <c r="E10" s="5" t="s">
        <v>2099</v>
      </c>
    </row>
    <row r="11" spans="1:6" ht="50.1" customHeight="1" x14ac:dyDescent="0.25">
      <c r="A11" s="5" t="s">
        <v>2100</v>
      </c>
      <c r="B11" s="5" t="s">
        <v>2101</v>
      </c>
      <c r="C11" s="5" t="s">
        <v>2102</v>
      </c>
      <c r="D11" s="7" t="s">
        <v>1471</v>
      </c>
      <c r="E11" s="5" t="s">
        <v>2103</v>
      </c>
    </row>
    <row r="12" spans="1:6" ht="50.1" customHeight="1" x14ac:dyDescent="0.25">
      <c r="A12" s="5" t="s">
        <v>2104</v>
      </c>
      <c r="B12" s="5" t="s">
        <v>2105</v>
      </c>
      <c r="C12" s="5" t="s">
        <v>2106</v>
      </c>
      <c r="D12" s="7" t="s">
        <v>1586</v>
      </c>
      <c r="E12" s="5" t="s">
        <v>2107</v>
      </c>
    </row>
    <row r="13" spans="1:6" ht="50.1" customHeight="1" x14ac:dyDescent="0.25">
      <c r="A13" s="5" t="s">
        <v>2108</v>
      </c>
      <c r="B13" s="5" t="s">
        <v>2109</v>
      </c>
      <c r="C13" s="5" t="s">
        <v>2110</v>
      </c>
      <c r="D13" s="7" t="s">
        <v>1555</v>
      </c>
      <c r="E13" s="5" t="s">
        <v>2111</v>
      </c>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dimension ref="A1:M22"/>
  <sheetViews>
    <sheetView workbookViewId="0">
      <selection activeCell="O6" sqref="O6"/>
    </sheetView>
  </sheetViews>
  <sheetFormatPr baseColWidth="10" defaultColWidth="9.140625" defaultRowHeight="15.75" x14ac:dyDescent="0.25"/>
  <cols>
    <col min="1" max="1" width="6" style="15" customWidth="1"/>
    <col min="2" max="2" width="29.7109375" style="15" customWidth="1"/>
    <col min="3" max="3" width="114.85546875" style="15" customWidth="1"/>
    <col min="4" max="4" width="48.85546875" style="15" customWidth="1"/>
    <col min="5" max="5" width="43.140625" style="15" customWidth="1"/>
    <col min="6" max="6" width="53.42578125" style="15" customWidth="1"/>
    <col min="7" max="16384" width="9.140625" style="15"/>
  </cols>
  <sheetData>
    <row r="1" spans="1:13" ht="32.1" customHeight="1" x14ac:dyDescent="0.25">
      <c r="A1" s="21"/>
      <c r="B1" s="222" t="s">
        <v>2112</v>
      </c>
      <c r="C1" s="222"/>
      <c r="D1" s="222"/>
      <c r="E1" s="222"/>
      <c r="F1" s="222"/>
      <c r="G1" s="222"/>
      <c r="H1" s="222"/>
      <c r="I1" s="222"/>
      <c r="J1" s="222"/>
      <c r="K1" s="222"/>
      <c r="L1" s="222"/>
    </row>
    <row r="2" spans="1:13" ht="57.95" customHeight="1" x14ac:dyDescent="0.25">
      <c r="A2" s="21"/>
      <c r="B2" s="223" t="s">
        <v>2113</v>
      </c>
      <c r="C2" s="791" t="s">
        <v>2114</v>
      </c>
      <c r="D2" s="791"/>
      <c r="E2" s="791"/>
      <c r="F2" s="791"/>
      <c r="G2" s="791"/>
      <c r="H2" s="791"/>
      <c r="I2" s="791"/>
      <c r="J2" s="791"/>
      <c r="K2" s="791"/>
      <c r="L2" s="791"/>
      <c r="M2" s="768" t="s">
        <v>4701</v>
      </c>
    </row>
    <row r="3" spans="1:13" ht="57.95" customHeight="1" x14ac:dyDescent="0.25">
      <c r="A3" s="21"/>
      <c r="B3" s="224" t="s">
        <v>2115</v>
      </c>
      <c r="C3" s="792" t="s">
        <v>2116</v>
      </c>
      <c r="D3" s="792"/>
      <c r="E3" s="792"/>
      <c r="F3" s="792"/>
      <c r="G3" s="792"/>
      <c r="H3" s="792"/>
      <c r="I3" s="792"/>
      <c r="J3" s="792"/>
      <c r="K3" s="792"/>
      <c r="L3" s="792"/>
    </row>
    <row r="4" spans="1:13" ht="18.75" customHeight="1" x14ac:dyDescent="0.25">
      <c r="A4" s="21"/>
      <c r="B4" s="98" t="s">
        <v>2829</v>
      </c>
      <c r="C4" s="16"/>
      <c r="D4" s="16"/>
      <c r="E4" s="16"/>
      <c r="F4" s="16"/>
      <c r="G4" s="21"/>
      <c r="H4" s="21"/>
      <c r="I4" s="21"/>
      <c r="J4" s="21"/>
      <c r="K4" s="21"/>
      <c r="L4" s="21"/>
    </row>
    <row r="5" spans="1:13" ht="38.1" customHeight="1" x14ac:dyDescent="0.25">
      <c r="A5" s="21"/>
      <c r="B5" s="225" t="s">
        <v>2117</v>
      </c>
      <c r="C5" s="225" t="s">
        <v>2118</v>
      </c>
      <c r="D5" s="225" t="s">
        <v>2119</v>
      </c>
      <c r="E5" s="225" t="s">
        <v>2120</v>
      </c>
      <c r="F5" s="225" t="s">
        <v>2121</v>
      </c>
      <c r="G5" s="21"/>
      <c r="H5" s="21"/>
      <c r="I5" s="21"/>
      <c r="J5" s="21"/>
      <c r="K5" s="21"/>
      <c r="L5" s="21"/>
    </row>
    <row r="6" spans="1:13" ht="57.95" customHeight="1" x14ac:dyDescent="0.25">
      <c r="A6" s="21"/>
      <c r="B6" s="226" t="s">
        <v>3506</v>
      </c>
      <c r="C6" s="22" t="s">
        <v>2122</v>
      </c>
      <c r="D6" s="22" t="s">
        <v>2123</v>
      </c>
      <c r="E6" s="22" t="s">
        <v>2124</v>
      </c>
      <c r="F6" s="22" t="s">
        <v>2125</v>
      </c>
      <c r="G6" s="21"/>
      <c r="H6" s="21"/>
      <c r="I6" s="21"/>
      <c r="J6" s="21"/>
      <c r="K6" s="21"/>
      <c r="L6" s="21"/>
    </row>
    <row r="7" spans="1:13" ht="57.95" customHeight="1" x14ac:dyDescent="0.25">
      <c r="A7" s="21"/>
      <c r="B7" s="226" t="s">
        <v>3507</v>
      </c>
      <c r="C7" s="22" t="s">
        <v>2126</v>
      </c>
      <c r="D7" s="22" t="s">
        <v>2127</v>
      </c>
      <c r="E7" s="22" t="s">
        <v>2128</v>
      </c>
      <c r="F7" s="22" t="s">
        <v>2129</v>
      </c>
      <c r="G7" s="21"/>
      <c r="H7" s="21"/>
      <c r="I7" s="21"/>
      <c r="J7" s="21"/>
      <c r="K7" s="21"/>
      <c r="L7" s="21"/>
    </row>
    <row r="8" spans="1:13" ht="57.95" customHeight="1" x14ac:dyDescent="0.25">
      <c r="A8" s="21"/>
      <c r="B8" s="226" t="s">
        <v>3508</v>
      </c>
      <c r="C8" s="22" t="s">
        <v>2130</v>
      </c>
      <c r="D8" s="22" t="s">
        <v>2131</v>
      </c>
      <c r="E8" s="22" t="s">
        <v>2132</v>
      </c>
      <c r="F8" s="22" t="s">
        <v>2133</v>
      </c>
      <c r="G8" s="21"/>
      <c r="H8" s="21"/>
      <c r="I8" s="21"/>
      <c r="J8" s="21"/>
      <c r="K8" s="21"/>
      <c r="L8" s="21"/>
    </row>
    <row r="9" spans="1:13" ht="57.95" customHeight="1" x14ac:dyDescent="0.25">
      <c r="A9" s="21"/>
      <c r="B9" s="226" t="s">
        <v>3509</v>
      </c>
      <c r="C9" s="22" t="s">
        <v>2134</v>
      </c>
      <c r="D9" s="22" t="s">
        <v>2135</v>
      </c>
      <c r="E9" s="22" t="s">
        <v>2136</v>
      </c>
      <c r="F9" s="22" t="s">
        <v>2137</v>
      </c>
      <c r="G9" s="21"/>
      <c r="H9" s="21"/>
      <c r="I9" s="21"/>
      <c r="J9" s="21"/>
      <c r="K9" s="21"/>
      <c r="L9" s="21"/>
    </row>
    <row r="10" spans="1:13" ht="57.95" customHeight="1" x14ac:dyDescent="0.25">
      <c r="A10" s="21"/>
      <c r="B10" s="226" t="s">
        <v>3510</v>
      </c>
      <c r="C10" s="22" t="s">
        <v>2138</v>
      </c>
      <c r="D10" s="22" t="s">
        <v>2139</v>
      </c>
      <c r="E10" s="22" t="s">
        <v>2140</v>
      </c>
      <c r="F10" s="22" t="s">
        <v>2141</v>
      </c>
      <c r="G10" s="21"/>
      <c r="H10" s="21"/>
      <c r="I10" s="21"/>
      <c r="J10" s="21"/>
      <c r="K10" s="21"/>
      <c r="L10" s="21"/>
    </row>
    <row r="11" spans="1:13" ht="57.95" customHeight="1" x14ac:dyDescent="0.25">
      <c r="A11" s="21"/>
      <c r="B11" s="226" t="s">
        <v>3511</v>
      </c>
      <c r="C11" s="22" t="s">
        <v>2142</v>
      </c>
      <c r="D11" s="22" t="s">
        <v>2143</v>
      </c>
      <c r="E11" s="22" t="s">
        <v>2144</v>
      </c>
      <c r="F11" s="22" t="s">
        <v>2145</v>
      </c>
      <c r="G11" s="21"/>
      <c r="H11" s="21"/>
      <c r="I11" s="21"/>
      <c r="J11" s="21"/>
      <c r="K11" s="21"/>
      <c r="L11" s="21"/>
    </row>
    <row r="12" spans="1:13" ht="57.95" customHeight="1" x14ac:dyDescent="0.25">
      <c r="A12" s="21"/>
      <c r="B12" s="226" t="s">
        <v>3512</v>
      </c>
      <c r="C12" s="22" t="s">
        <v>2146</v>
      </c>
      <c r="D12" s="22" t="s">
        <v>2147</v>
      </c>
      <c r="E12" s="22" t="s">
        <v>2148</v>
      </c>
      <c r="F12" s="22" t="s">
        <v>2149</v>
      </c>
      <c r="G12" s="21"/>
      <c r="H12" s="21"/>
      <c r="I12" s="21"/>
      <c r="J12" s="21"/>
      <c r="K12" s="21"/>
      <c r="L12" s="21"/>
    </row>
    <row r="13" spans="1:13" ht="15.75" customHeight="1" x14ac:dyDescent="0.25">
      <c r="A13" s="21"/>
      <c r="B13" s="227"/>
      <c r="C13" s="18"/>
      <c r="D13" s="16"/>
      <c r="E13" s="16"/>
      <c r="F13" s="16"/>
      <c r="G13" s="21"/>
      <c r="H13" s="21"/>
      <c r="I13" s="21"/>
      <c r="J13" s="21"/>
      <c r="K13" s="21"/>
      <c r="L13" s="21"/>
    </row>
    <row r="14" spans="1:13" ht="39.950000000000003" customHeight="1" x14ac:dyDescent="0.25">
      <c r="A14" s="21"/>
      <c r="B14" s="228" t="s">
        <v>3520</v>
      </c>
      <c r="C14" s="890" t="s">
        <v>2150</v>
      </c>
      <c r="D14" s="890"/>
      <c r="E14" s="890"/>
      <c r="F14" s="890"/>
      <c r="G14" s="21"/>
      <c r="H14" s="21"/>
      <c r="I14" s="21"/>
      <c r="J14" s="21"/>
      <c r="K14" s="21"/>
      <c r="L14" s="21"/>
    </row>
    <row r="15" spans="1:13" ht="39.950000000000003" customHeight="1" x14ac:dyDescent="0.25">
      <c r="A15" s="21"/>
      <c r="B15" s="226" t="s">
        <v>3513</v>
      </c>
      <c r="C15" s="890" t="s">
        <v>2151</v>
      </c>
      <c r="D15" s="890"/>
      <c r="E15" s="890"/>
      <c r="F15" s="890"/>
      <c r="G15" s="21"/>
      <c r="H15" s="21"/>
      <c r="I15" s="21"/>
      <c r="J15" s="21"/>
      <c r="K15" s="21"/>
      <c r="L15" s="21"/>
    </row>
    <row r="16" spans="1:13" ht="39.950000000000003" customHeight="1" x14ac:dyDescent="0.25">
      <c r="A16" s="21"/>
      <c r="B16" s="228" t="s">
        <v>3514</v>
      </c>
      <c r="C16" s="890" t="s">
        <v>2152</v>
      </c>
      <c r="D16" s="890"/>
      <c r="E16" s="890"/>
      <c r="F16" s="890"/>
      <c r="G16" s="21"/>
      <c r="H16" s="21"/>
      <c r="I16" s="21"/>
      <c r="J16" s="21"/>
      <c r="K16" s="21"/>
      <c r="L16" s="21"/>
    </row>
    <row r="17" spans="1:12" ht="39.950000000000003" customHeight="1" x14ac:dyDescent="0.25">
      <c r="A17" s="21"/>
      <c r="B17" s="226" t="s">
        <v>3515</v>
      </c>
      <c r="C17" s="890" t="s">
        <v>2153</v>
      </c>
      <c r="D17" s="890"/>
      <c r="E17" s="890"/>
      <c r="F17" s="890"/>
      <c r="G17" s="21"/>
      <c r="H17" s="21"/>
      <c r="I17" s="21"/>
      <c r="J17" s="21"/>
      <c r="K17" s="21"/>
      <c r="L17" s="21"/>
    </row>
    <row r="18" spans="1:12" ht="39.950000000000003" customHeight="1" x14ac:dyDescent="0.25">
      <c r="A18" s="21"/>
      <c r="B18" s="226" t="s">
        <v>3516</v>
      </c>
      <c r="C18" s="890" t="s">
        <v>2154</v>
      </c>
      <c r="D18" s="890"/>
      <c r="E18" s="890"/>
      <c r="F18" s="890"/>
      <c r="G18" s="21"/>
      <c r="H18" s="21"/>
      <c r="I18" s="21"/>
      <c r="J18" s="21"/>
      <c r="K18" s="21"/>
      <c r="L18" s="21"/>
    </row>
    <row r="19" spans="1:12" ht="39.950000000000003" customHeight="1" x14ac:dyDescent="0.25">
      <c r="A19" s="21"/>
      <c r="B19" s="226" t="s">
        <v>3517</v>
      </c>
      <c r="C19" s="890" t="s">
        <v>2155</v>
      </c>
      <c r="D19" s="890"/>
      <c r="E19" s="890"/>
      <c r="F19" s="890"/>
      <c r="G19" s="21"/>
      <c r="H19" s="21"/>
      <c r="I19" s="21"/>
      <c r="J19" s="21"/>
      <c r="K19" s="21"/>
      <c r="L19" s="21"/>
    </row>
    <row r="20" spans="1:12" ht="39.950000000000003" customHeight="1" x14ac:dyDescent="0.25">
      <c r="A20" s="21"/>
      <c r="B20" s="228" t="s">
        <v>3518</v>
      </c>
      <c r="C20" s="890" t="s">
        <v>2156</v>
      </c>
      <c r="D20" s="890"/>
      <c r="E20" s="890"/>
      <c r="F20" s="890"/>
      <c r="G20" s="21"/>
      <c r="H20" s="21"/>
      <c r="I20" s="21"/>
      <c r="J20" s="21"/>
      <c r="K20" s="21"/>
      <c r="L20" s="21"/>
    </row>
    <row r="21" spans="1:12" ht="36.75" customHeight="1" x14ac:dyDescent="0.25">
      <c r="A21" s="21"/>
      <c r="B21" s="226" t="s">
        <v>3519</v>
      </c>
      <c r="C21" s="890" t="s">
        <v>2157</v>
      </c>
      <c r="D21" s="890"/>
      <c r="E21" s="890"/>
      <c r="F21" s="890"/>
      <c r="G21" s="21"/>
      <c r="H21" s="21"/>
      <c r="I21" s="21"/>
      <c r="J21" s="21"/>
      <c r="K21" s="21"/>
      <c r="L21" s="21"/>
    </row>
    <row r="22" spans="1:12" ht="57.95" customHeight="1" x14ac:dyDescent="0.25">
      <c r="A22" s="21"/>
      <c r="B22" s="22" t="s">
        <v>2158</v>
      </c>
      <c r="C22" s="23" t="s">
        <v>2159</v>
      </c>
      <c r="D22" s="23"/>
      <c r="E22" s="23"/>
      <c r="F22" s="23"/>
      <c r="G22" s="21"/>
      <c r="H22" s="21"/>
      <c r="I22" s="21"/>
      <c r="J22" s="21"/>
      <c r="K22" s="21"/>
      <c r="L22" s="21"/>
    </row>
  </sheetData>
  <mergeCells count="10">
    <mergeCell ref="C18:F18"/>
    <mergeCell ref="C19:F19"/>
    <mergeCell ref="C20:F20"/>
    <mergeCell ref="C21:F21"/>
    <mergeCell ref="C2:L2"/>
    <mergeCell ref="C3:L3"/>
    <mergeCell ref="C14:F14"/>
    <mergeCell ref="C15:F15"/>
    <mergeCell ref="C16:F16"/>
    <mergeCell ref="C17:F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3"/>
  <dimension ref="A1:U40"/>
  <sheetViews>
    <sheetView workbookViewId="0">
      <selection activeCell="I4" sqref="I4"/>
    </sheetView>
  </sheetViews>
  <sheetFormatPr baseColWidth="10" defaultColWidth="9.140625" defaultRowHeight="15.75" x14ac:dyDescent="0.25"/>
  <cols>
    <col min="1" max="1" width="30" style="15" customWidth="1"/>
    <col min="2" max="2" width="22" style="15" customWidth="1"/>
    <col min="3" max="3" width="42" style="15" customWidth="1"/>
    <col min="4" max="4" width="14" style="15" customWidth="1"/>
    <col min="5" max="5" width="48" style="15" customWidth="1"/>
    <col min="6" max="6" width="42.85546875" style="15" customWidth="1"/>
    <col min="7" max="16384" width="9.140625" style="15"/>
  </cols>
  <sheetData>
    <row r="1" spans="1:12" ht="32.1" customHeight="1" x14ac:dyDescent="0.25">
      <c r="A1" s="799" t="s">
        <v>2160</v>
      </c>
      <c r="B1" s="799"/>
      <c r="C1" s="799"/>
      <c r="D1" s="799"/>
      <c r="E1" s="799"/>
      <c r="F1" s="799"/>
      <c r="G1" s="799"/>
      <c r="H1" s="768" t="s">
        <v>4701</v>
      </c>
      <c r="I1" s="21"/>
      <c r="J1" s="21"/>
      <c r="K1" s="21"/>
      <c r="L1" s="21"/>
    </row>
    <row r="2" spans="1:12" ht="45" customHeight="1" x14ac:dyDescent="0.25">
      <c r="A2" s="229" t="s">
        <v>3522</v>
      </c>
      <c r="B2" s="20" t="s">
        <v>3504</v>
      </c>
      <c r="C2" s="23"/>
      <c r="D2" s="23"/>
      <c r="E2" s="23"/>
      <c r="F2" s="23"/>
      <c r="G2" s="21"/>
      <c r="H2" s="21"/>
      <c r="I2" s="21"/>
      <c r="J2" s="21"/>
      <c r="K2" s="21"/>
      <c r="L2" s="21"/>
    </row>
    <row r="3" spans="1:12" ht="45" customHeight="1" x14ac:dyDescent="0.25">
      <c r="A3" s="229" t="s">
        <v>3521</v>
      </c>
      <c r="B3" s="23" t="s">
        <v>2161</v>
      </c>
      <c r="C3" s="23"/>
      <c r="D3" s="23"/>
      <c r="E3" s="23"/>
      <c r="F3" s="23"/>
      <c r="G3" s="21"/>
      <c r="H3" s="21"/>
      <c r="I3" s="21"/>
      <c r="J3" s="21"/>
      <c r="K3" s="21"/>
      <c r="L3" s="21"/>
    </row>
    <row r="4" spans="1:12" ht="45" customHeight="1" x14ac:dyDescent="0.25">
      <c r="A4" s="229" t="s">
        <v>3225</v>
      </c>
      <c r="B4" s="891" t="s">
        <v>2216</v>
      </c>
      <c r="C4" s="892"/>
      <c r="D4" s="892"/>
      <c r="E4" s="893"/>
      <c r="F4" s="23"/>
      <c r="G4" s="21"/>
      <c r="H4" s="21"/>
      <c r="I4" s="21"/>
      <c r="J4" s="21"/>
      <c r="K4" s="21"/>
      <c r="L4" s="21"/>
    </row>
    <row r="5" spans="1:12" ht="18" customHeight="1" x14ac:dyDescent="0.25">
      <c r="A5" s="27"/>
      <c r="B5" s="23"/>
      <c r="C5" s="23"/>
      <c r="D5" s="23"/>
      <c r="E5" s="23"/>
      <c r="F5" s="23"/>
      <c r="G5" s="21"/>
      <c r="H5" s="21"/>
      <c r="I5" s="21"/>
      <c r="J5" s="21"/>
      <c r="K5" s="21"/>
      <c r="L5" s="21"/>
    </row>
    <row r="6" spans="1:12" ht="45" customHeight="1" x14ac:dyDescent="0.25">
      <c r="A6" s="229" t="s">
        <v>3533</v>
      </c>
      <c r="B6" s="217" t="s">
        <v>2163</v>
      </c>
      <c r="C6" s="23"/>
      <c r="D6" s="23"/>
      <c r="E6" s="23"/>
      <c r="F6" s="23"/>
      <c r="G6" s="21"/>
      <c r="H6" s="21"/>
      <c r="I6" s="21"/>
      <c r="J6" s="21"/>
      <c r="K6" s="21"/>
      <c r="L6" s="21"/>
    </row>
    <row r="7" spans="1:12" ht="19.5" customHeight="1" x14ac:dyDescent="0.25">
      <c r="A7" s="17"/>
      <c r="B7" s="23"/>
      <c r="C7" s="23"/>
      <c r="D7" s="23"/>
      <c r="E7" s="23"/>
      <c r="F7" s="23"/>
      <c r="G7" s="21"/>
      <c r="H7" s="21"/>
      <c r="I7" s="21"/>
      <c r="J7" s="21"/>
      <c r="K7" s="21"/>
      <c r="L7" s="21"/>
    </row>
    <row r="8" spans="1:12" ht="45" customHeight="1" x14ac:dyDescent="0.25">
      <c r="A8" s="230" t="s">
        <v>2164</v>
      </c>
      <c r="B8" s="230" t="s">
        <v>1719</v>
      </c>
      <c r="C8" s="230" t="s">
        <v>2165</v>
      </c>
      <c r="D8" s="230" t="s">
        <v>2166</v>
      </c>
      <c r="E8" s="230" t="s">
        <v>2167</v>
      </c>
      <c r="F8" s="230" t="s">
        <v>2168</v>
      </c>
      <c r="G8" s="21"/>
      <c r="H8" s="21"/>
      <c r="I8" s="21"/>
      <c r="J8" s="21"/>
      <c r="K8" s="21"/>
      <c r="L8" s="21"/>
    </row>
    <row r="9" spans="1:12" ht="45" customHeight="1" x14ac:dyDescent="0.25">
      <c r="A9" s="17" t="s">
        <v>1442</v>
      </c>
      <c r="B9" s="17" t="s">
        <v>2169</v>
      </c>
      <c r="C9" s="18" t="s">
        <v>2170</v>
      </c>
      <c r="D9" s="230" t="str">
        <f t="shared" ref="D9:D20" si="0">IF($B$4="","",IF(ISNUMBER(SEARCH(A9,$B$4)),"OUI",""))</f>
        <v/>
      </c>
      <c r="E9" s="18" t="s">
        <v>2171</v>
      </c>
      <c r="F9" s="18" t="s">
        <v>2172</v>
      </c>
      <c r="G9" s="21"/>
      <c r="H9" s="21"/>
      <c r="I9" s="21"/>
      <c r="J9" s="21"/>
      <c r="K9" s="21"/>
      <c r="L9" s="21"/>
    </row>
    <row r="10" spans="1:12" ht="45" customHeight="1" x14ac:dyDescent="0.25">
      <c r="A10" s="17" t="s">
        <v>1453</v>
      </c>
      <c r="B10" s="17" t="s">
        <v>2169</v>
      </c>
      <c r="C10" s="18" t="s">
        <v>2173</v>
      </c>
      <c r="D10" s="230" t="str">
        <f t="shared" si="0"/>
        <v>OUI</v>
      </c>
      <c r="E10" s="18" t="s">
        <v>2174</v>
      </c>
      <c r="F10" s="18" t="s">
        <v>2175</v>
      </c>
      <c r="G10" s="21"/>
      <c r="H10" s="21"/>
      <c r="I10" s="21"/>
      <c r="J10" s="21"/>
      <c r="K10" s="21"/>
      <c r="L10" s="21"/>
    </row>
    <row r="11" spans="1:12" ht="45" customHeight="1" x14ac:dyDescent="0.25">
      <c r="A11" s="17" t="s">
        <v>1463</v>
      </c>
      <c r="B11" s="17" t="s">
        <v>2176</v>
      </c>
      <c r="C11" s="18" t="s">
        <v>2177</v>
      </c>
      <c r="D11" s="230" t="str">
        <f t="shared" si="0"/>
        <v/>
      </c>
      <c r="E11" s="18" t="s">
        <v>2178</v>
      </c>
      <c r="F11" s="18" t="s">
        <v>2179</v>
      </c>
      <c r="G11" s="21"/>
      <c r="H11" s="21"/>
      <c r="I11" s="21"/>
      <c r="J11" s="21"/>
      <c r="K11" s="21"/>
      <c r="L11" s="21"/>
    </row>
    <row r="12" spans="1:12" ht="45" customHeight="1" x14ac:dyDescent="0.25">
      <c r="A12" s="17" t="s">
        <v>2003</v>
      </c>
      <c r="B12" s="17" t="s">
        <v>2176</v>
      </c>
      <c r="C12" s="18" t="s">
        <v>2180</v>
      </c>
      <c r="D12" s="230" t="str">
        <f t="shared" si="0"/>
        <v/>
      </c>
      <c r="E12" s="18" t="s">
        <v>2181</v>
      </c>
      <c r="F12" s="18" t="s">
        <v>2182</v>
      </c>
      <c r="G12" s="21"/>
      <c r="H12" s="21"/>
      <c r="I12" s="21"/>
      <c r="J12" s="21"/>
      <c r="K12" s="21"/>
      <c r="L12" s="21"/>
    </row>
    <row r="13" spans="1:12" ht="45" customHeight="1" x14ac:dyDescent="0.25">
      <c r="A13" s="17" t="s">
        <v>1473</v>
      </c>
      <c r="B13" s="17" t="s">
        <v>2183</v>
      </c>
      <c r="C13" s="18" t="s">
        <v>2184</v>
      </c>
      <c r="D13" s="230" t="str">
        <f t="shared" si="0"/>
        <v>OUI</v>
      </c>
      <c r="E13" s="18" t="s">
        <v>2185</v>
      </c>
      <c r="F13" s="18" t="s">
        <v>2186</v>
      </c>
      <c r="G13" s="21"/>
      <c r="H13" s="21"/>
      <c r="I13" s="21"/>
      <c r="J13" s="21"/>
      <c r="K13" s="21"/>
      <c r="L13" s="21"/>
    </row>
    <row r="14" spans="1:12" ht="45" customHeight="1" x14ac:dyDescent="0.25">
      <c r="A14" s="17" t="s">
        <v>2012</v>
      </c>
      <c r="B14" s="17" t="s">
        <v>2183</v>
      </c>
      <c r="C14" s="18" t="s">
        <v>2180</v>
      </c>
      <c r="D14" s="230" t="str">
        <f t="shared" si="0"/>
        <v/>
      </c>
      <c r="E14" s="18" t="s">
        <v>2187</v>
      </c>
      <c r="F14" s="18" t="s">
        <v>2188</v>
      </c>
      <c r="G14" s="21"/>
      <c r="H14" s="21"/>
      <c r="I14" s="21"/>
      <c r="J14" s="21"/>
      <c r="K14" s="21"/>
      <c r="L14" s="21"/>
    </row>
    <row r="15" spans="1:12" ht="45" customHeight="1" x14ac:dyDescent="0.25">
      <c r="A15" s="17" t="s">
        <v>2189</v>
      </c>
      <c r="B15" s="17" t="s">
        <v>1545</v>
      </c>
      <c r="C15" s="18" t="s">
        <v>2190</v>
      </c>
      <c r="D15" s="230" t="str">
        <f t="shared" si="0"/>
        <v/>
      </c>
      <c r="E15" s="18" t="s">
        <v>2191</v>
      </c>
      <c r="F15" s="18" t="s">
        <v>2192</v>
      </c>
      <c r="G15" s="21"/>
      <c r="H15" s="21"/>
      <c r="I15" s="21"/>
      <c r="J15" s="21"/>
      <c r="K15" s="21"/>
      <c r="L15" s="21"/>
    </row>
    <row r="16" spans="1:12" ht="45" customHeight="1" x14ac:dyDescent="0.25">
      <c r="A16" s="17" t="s">
        <v>2193</v>
      </c>
      <c r="B16" s="17" t="s">
        <v>1545</v>
      </c>
      <c r="C16" s="18" t="s">
        <v>2180</v>
      </c>
      <c r="D16" s="230" t="str">
        <f t="shared" si="0"/>
        <v/>
      </c>
      <c r="E16" s="18" t="s">
        <v>2194</v>
      </c>
      <c r="F16" s="18" t="s">
        <v>2195</v>
      </c>
      <c r="G16" s="21"/>
      <c r="H16" s="21"/>
      <c r="I16" s="21"/>
      <c r="J16" s="21"/>
      <c r="K16" s="21"/>
      <c r="L16" s="21"/>
    </row>
    <row r="17" spans="1:21" ht="45" customHeight="1" x14ac:dyDescent="0.25">
      <c r="A17" s="17" t="s">
        <v>2196</v>
      </c>
      <c r="B17" s="17" t="s">
        <v>1235</v>
      </c>
      <c r="C17" s="18" t="s">
        <v>2197</v>
      </c>
      <c r="D17" s="230" t="str">
        <f t="shared" si="0"/>
        <v/>
      </c>
      <c r="E17" s="18" t="s">
        <v>2198</v>
      </c>
      <c r="F17" s="18" t="s">
        <v>2199</v>
      </c>
      <c r="G17" s="21"/>
      <c r="H17" s="21"/>
      <c r="I17" s="21"/>
      <c r="J17" s="21"/>
      <c r="K17" s="21"/>
      <c r="L17" s="21"/>
    </row>
    <row r="18" spans="1:21" ht="45" customHeight="1" x14ac:dyDescent="0.25">
      <c r="A18" s="17" t="s">
        <v>494</v>
      </c>
      <c r="B18" s="17" t="s">
        <v>2200</v>
      </c>
      <c r="C18" s="18" t="s">
        <v>2201</v>
      </c>
      <c r="D18" s="230" t="str">
        <f t="shared" si="0"/>
        <v/>
      </c>
      <c r="E18" s="18" t="s">
        <v>2202</v>
      </c>
      <c r="F18" s="18" t="s">
        <v>2203</v>
      </c>
      <c r="G18" s="21"/>
      <c r="H18" s="21"/>
      <c r="I18" s="21"/>
      <c r="J18" s="21"/>
      <c r="K18" s="21"/>
      <c r="L18" s="21"/>
    </row>
    <row r="19" spans="1:21" ht="45" customHeight="1" x14ac:dyDescent="0.25">
      <c r="A19" s="17" t="s">
        <v>2204</v>
      </c>
      <c r="B19" s="17" t="s">
        <v>2205</v>
      </c>
      <c r="C19" s="18" t="s">
        <v>2206</v>
      </c>
      <c r="D19" s="230" t="str">
        <f t="shared" si="0"/>
        <v/>
      </c>
      <c r="E19" s="18" t="s">
        <v>2207</v>
      </c>
      <c r="F19" s="18" t="s">
        <v>2208</v>
      </c>
      <c r="G19" s="21"/>
      <c r="H19" s="21"/>
      <c r="I19" s="21"/>
      <c r="J19" s="21"/>
      <c r="K19" s="21"/>
      <c r="L19" s="21"/>
    </row>
    <row r="20" spans="1:21" ht="45" customHeight="1" x14ac:dyDescent="0.25">
      <c r="A20" s="17" t="s">
        <v>2209</v>
      </c>
      <c r="B20" s="17" t="s">
        <v>2210</v>
      </c>
      <c r="C20" s="18" t="s">
        <v>2211</v>
      </c>
      <c r="D20" s="230" t="str">
        <f t="shared" si="0"/>
        <v/>
      </c>
      <c r="E20" s="18" t="s">
        <v>2212</v>
      </c>
      <c r="F20" s="18" t="s">
        <v>2213</v>
      </c>
      <c r="G20" s="21"/>
      <c r="H20" s="21"/>
      <c r="I20" s="21"/>
      <c r="J20" s="21"/>
      <c r="K20" s="21"/>
      <c r="L20" s="21"/>
    </row>
    <row r="21" spans="1:21" ht="45" customHeight="1" x14ac:dyDescent="0.25">
      <c r="A21" s="17"/>
      <c r="B21" s="16"/>
      <c r="C21" s="16"/>
      <c r="D21" s="16"/>
      <c r="E21" s="16"/>
      <c r="F21" s="16"/>
    </row>
    <row r="22" spans="1:21" ht="45" customHeight="1" x14ac:dyDescent="0.25">
      <c r="A22" s="896" t="s">
        <v>2214</v>
      </c>
      <c r="B22" s="896"/>
      <c r="C22" s="896"/>
      <c r="D22" s="896"/>
      <c r="E22" s="896"/>
      <c r="F22" s="24" t="s">
        <v>2219</v>
      </c>
      <c r="G22" s="25"/>
      <c r="H22" s="25"/>
      <c r="I22" s="25"/>
      <c r="J22" s="25"/>
      <c r="K22" s="25"/>
      <c r="L22" s="25"/>
      <c r="M22" s="25"/>
      <c r="N22" s="25"/>
      <c r="O22" s="25"/>
      <c r="P22" s="25"/>
      <c r="Q22" s="25"/>
      <c r="R22" s="25"/>
      <c r="S22" s="25"/>
      <c r="T22" s="25"/>
      <c r="U22" s="25"/>
    </row>
    <row r="23" spans="1:21" ht="45" customHeight="1" x14ac:dyDescent="0.25">
      <c r="A23" s="232" t="s">
        <v>3523</v>
      </c>
      <c r="B23" s="233" t="str">
        <f>IF(COUNTIF(D9:D20,"OUI")=0,"Aucun mot-clé moteur détecté.","Résumé audit : "&amp;COUNTIF(D9:D20,"OUI")&amp;" détection(s). Lire les familles OUI puis contrôler coût, nutrition, acceptabilité et allergènes.")</f>
        <v>Résumé audit : 2 détection(s). Lire les familles OUI puis contrôler coût, nutrition, acceptabilité et allergènes.</v>
      </c>
      <c r="C23" s="233"/>
      <c r="D23" s="233"/>
      <c r="E23" s="233"/>
      <c r="F23" s="897" t="str">
        <f t="shared" ref="F23:F30" ca="1" si="1">_xlfn.FORMULATEXT(B23)</f>
        <v>=SI(NB.SI(D9:D20;"OUI")=0;"Aucun mot-clé moteur détecté.";"Résumé audit : "&amp;NB.SI(D9:D20;"OUI")&amp;" détection(s). Lire les familles OUI puis contrôler coût, nutrition, acceptabilité et allergènes.")</v>
      </c>
      <c r="G23" s="897"/>
      <c r="H23" s="897"/>
      <c r="I23" s="897"/>
      <c r="J23" s="897"/>
      <c r="K23" s="897"/>
      <c r="L23" s="897"/>
      <c r="M23" s="897"/>
      <c r="N23" s="897"/>
      <c r="O23" s="897"/>
      <c r="P23" s="897"/>
      <c r="Q23" s="897"/>
      <c r="R23" s="897"/>
      <c r="S23" s="897"/>
      <c r="T23" s="897"/>
      <c r="U23" s="897"/>
    </row>
    <row r="24" spans="1:21" ht="45" customHeight="1" x14ac:dyDescent="0.25">
      <c r="A24" s="232" t="s">
        <v>3524</v>
      </c>
      <c r="B24" s="234">
        <f>COUNTIF(D9:D20,"OUI")</f>
        <v>2</v>
      </c>
      <c r="C24" s="231"/>
      <c r="D24" s="231"/>
      <c r="E24" s="231"/>
      <c r="F24" s="26" t="str">
        <f t="shared" ca="1" si="1"/>
        <v>=NB.SI(D9:D20;"OUI")</v>
      </c>
      <c r="G24" s="25"/>
      <c r="H24" s="25"/>
      <c r="I24" s="25"/>
      <c r="J24" s="25"/>
      <c r="K24" s="25"/>
      <c r="L24" s="25"/>
      <c r="M24" s="25"/>
      <c r="N24" s="25"/>
      <c r="O24" s="25"/>
      <c r="P24" s="25"/>
      <c r="Q24" s="25"/>
      <c r="R24" s="25"/>
      <c r="S24" s="25"/>
      <c r="T24" s="25"/>
      <c r="U24" s="25"/>
    </row>
    <row r="25" spans="1:21" ht="45" customHeight="1" x14ac:dyDescent="0.25">
      <c r="A25" s="235" t="s">
        <v>3525</v>
      </c>
      <c r="B25" s="231" t="str">
        <f>IF(OR(D9="OUI",D10="OUI"),"Présent : comparer le plat remplacé, le coût réel et l’acceptabilité.","Non détecté")</f>
        <v>Présent : comparer le plat remplacé, le coût réel et l’acceptabilité.</v>
      </c>
      <c r="C25" s="231"/>
      <c r="D25" s="231"/>
      <c r="E25" s="231"/>
      <c r="F25" s="26" t="str">
        <f t="shared" ca="1" si="1"/>
        <v>=SI(OU(D9="OUI";D10="OUI");"Présent : comparer le plat remplacé, le coût réel et l’acceptabilité.";"Non détecté")</v>
      </c>
      <c r="G25" s="25"/>
      <c r="H25" s="25"/>
      <c r="I25" s="25"/>
      <c r="J25" s="25"/>
      <c r="K25" s="25"/>
      <c r="L25" s="25"/>
      <c r="M25" s="25"/>
      <c r="N25" s="25"/>
      <c r="O25" s="25"/>
      <c r="P25" s="25"/>
      <c r="Q25" s="25"/>
      <c r="R25" s="25"/>
      <c r="S25" s="25"/>
      <c r="T25" s="25"/>
      <c r="U25" s="25"/>
    </row>
    <row r="26" spans="1:21" ht="45" customHeight="1" x14ac:dyDescent="0.25">
      <c r="A26" s="235" t="s">
        <v>3526</v>
      </c>
      <c r="B26" s="231" t="str">
        <f>IF(OR(D11="OUI",D12="OUI",D13="OUI",D14="OUI"),"Présent : diversifier les familles végétales et ne pas rester sur les lentilles.","Non détecté")</f>
        <v>Présent : diversifier les familles végétales et ne pas rester sur les lentilles.</v>
      </c>
      <c r="C26" s="231"/>
      <c r="D26" s="231"/>
      <c r="E26" s="231"/>
      <c r="F26" s="26" t="str">
        <f t="shared" ca="1" si="1"/>
        <v>=SI(OU(D11="OUI";D12="OUI";D13="OUI";D14="OUI");"Présent : diversifier les familles végétales et ne pas rester sur les lentilles.";"Non détecté")</v>
      </c>
      <c r="G26" s="25"/>
      <c r="H26" s="25"/>
      <c r="I26" s="25"/>
      <c r="J26" s="25"/>
      <c r="K26" s="25"/>
      <c r="L26" s="25"/>
      <c r="M26" s="25"/>
      <c r="N26" s="25"/>
      <c r="O26" s="25"/>
      <c r="P26" s="25"/>
      <c r="Q26" s="25"/>
      <c r="R26" s="25"/>
      <c r="S26" s="25"/>
      <c r="T26" s="25"/>
      <c r="U26" s="25"/>
    </row>
    <row r="27" spans="1:21" ht="45" customHeight="1" x14ac:dyDescent="0.25">
      <c r="A27" s="236" t="s">
        <v>3527</v>
      </c>
      <c r="B27" s="231" t="str">
        <f>IF(OR(D15="OUI",D16="OUI"),"Présent : raisonner coût portion, rendement cuisson, main-d’œuvre, gaspillage.","Non détecté")</f>
        <v>Non détecté</v>
      </c>
      <c r="C27" s="231"/>
      <c r="D27" s="231"/>
      <c r="E27" s="231"/>
      <c r="F27" s="26" t="str">
        <f t="shared" ca="1" si="1"/>
        <v>=SI(OU(D15="OUI";D16="OUI");"Présent : raisonner coût portion, rendement cuisson, main-d’œuvre, gaspillage.";"Non détecté")</v>
      </c>
      <c r="G27" s="25"/>
      <c r="H27" s="25"/>
      <c r="I27" s="25"/>
      <c r="J27" s="25"/>
      <c r="K27" s="25"/>
      <c r="L27" s="25"/>
      <c r="M27" s="25"/>
      <c r="N27" s="25"/>
      <c r="O27" s="25"/>
      <c r="P27" s="25"/>
      <c r="Q27" s="25"/>
      <c r="R27" s="25"/>
      <c r="S27" s="25"/>
      <c r="T27" s="25"/>
      <c r="U27" s="25"/>
    </row>
    <row r="28" spans="1:21" ht="45" customHeight="1" x14ac:dyDescent="0.25">
      <c r="A28" s="236" t="s">
        <v>3528</v>
      </c>
      <c r="B28" s="231" t="str">
        <f>IF(D17="OUI","Présent : travailler texture, sauce, mâche, humidité, assaisonnement et température.","Non détecté")</f>
        <v>Non détecté</v>
      </c>
      <c r="C28" s="231"/>
      <c r="D28" s="231"/>
      <c r="E28" s="231"/>
      <c r="F28" s="26" t="str">
        <f t="shared" ca="1" si="1"/>
        <v>=SI(D17="OUI";"Présent : travailler texture, sauce, mâche, humidité, assaisonnement et température.";"Non détecté")</v>
      </c>
      <c r="G28" s="25"/>
      <c r="H28" s="25"/>
      <c r="I28" s="25"/>
      <c r="J28" s="25"/>
      <c r="K28" s="25"/>
      <c r="L28" s="25"/>
      <c r="M28" s="25"/>
      <c r="N28" s="25"/>
      <c r="O28" s="25"/>
      <c r="P28" s="25"/>
      <c r="Q28" s="25"/>
      <c r="R28" s="25"/>
      <c r="S28" s="25"/>
      <c r="T28" s="25"/>
      <c r="U28" s="25"/>
    </row>
    <row r="29" spans="1:21" ht="45" customHeight="1" x14ac:dyDescent="0.25">
      <c r="A29" s="236" t="s">
        <v>3529</v>
      </c>
      <c r="B29" s="231" t="str">
        <f>IF(OR(D18="OUI",D19="OUI"),"Présent : contrôle allergène gluten obligatoire, étiquetage et substitution.","Non détecté")</f>
        <v>Non détecté</v>
      </c>
      <c r="C29" s="231"/>
      <c r="D29" s="231"/>
      <c r="E29" s="231"/>
      <c r="F29" s="26" t="str">
        <f t="shared" ca="1" si="1"/>
        <v>=SI(OU(D18="OUI";D19="OUI");"Présent : contrôle allergène gluten obligatoire, étiquetage et substitution.";"Non détecté")</v>
      </c>
      <c r="G29" s="25"/>
      <c r="H29" s="25"/>
      <c r="I29" s="25"/>
      <c r="J29" s="25"/>
      <c r="K29" s="25"/>
      <c r="L29" s="25"/>
      <c r="M29" s="25"/>
      <c r="N29" s="25"/>
      <c r="O29" s="25"/>
      <c r="P29" s="25"/>
      <c r="Q29" s="25"/>
      <c r="R29" s="25"/>
      <c r="S29" s="25"/>
      <c r="T29" s="25"/>
      <c r="U29" s="25"/>
    </row>
    <row r="30" spans="1:21" ht="45" customHeight="1" x14ac:dyDescent="0.25">
      <c r="A30" s="236" t="s">
        <v>3530</v>
      </c>
      <c r="B30" s="231" t="str">
        <f>IF(D20="OUI","Présent : vérifier protéines par portion, fibres, sel, matières grasses et transformation.","Non détecté")</f>
        <v>Non détecté</v>
      </c>
      <c r="C30" s="231"/>
      <c r="D30" s="231"/>
      <c r="E30" s="231"/>
      <c r="F30" s="26" t="str">
        <f t="shared" ca="1" si="1"/>
        <v>=SI(D20="OUI";"Présent : vérifier protéines par portion, fibres, sel, matières grasses et transformation.";"Non détecté")</v>
      </c>
      <c r="G30" s="25"/>
      <c r="H30" s="25"/>
      <c r="I30" s="25"/>
      <c r="J30" s="25"/>
      <c r="K30" s="25"/>
      <c r="L30" s="25"/>
      <c r="M30" s="25"/>
      <c r="N30" s="25"/>
      <c r="O30" s="25"/>
      <c r="P30" s="25"/>
      <c r="Q30" s="25"/>
      <c r="R30" s="25"/>
      <c r="S30" s="25"/>
      <c r="T30" s="25"/>
      <c r="U30" s="25"/>
    </row>
    <row r="31" spans="1:21" ht="45" customHeight="1" x14ac:dyDescent="0.25">
      <c r="A31" s="236" t="s">
        <v>3531</v>
      </c>
      <c r="B31" s="231" t="str">
        <f>IF(COUNTIF(D9:D20,"OUI")=0,"Aucun audit à commenter.",IF(OR(D18="OUI",D19="OUI"),"Priorité formateur : sécurité allergène gluten avant débat économique.",IF(OR(D15="OUI",D16="OUI"),"Priorité formateur : arbitrage coût réel, gaspillage et acceptabilité.","Priorité formateur : faire justifier la diversification et les choix culinaires.")))</f>
        <v>Priorité formateur : faire justifier la diversification et les choix culinaires.</v>
      </c>
      <c r="C31" s="231"/>
      <c r="D31" s="231"/>
      <c r="E31" s="231"/>
      <c r="F31" s="897" t="str">
        <f ca="1">_xlfn.FORMULATEXT(B31)</f>
        <v>=SI(NB.SI(D9:D20;"OUI")=0;"Aucun audit à commenter.";SI(OU(D18="OUI";D19="OUI");"Priorité formateur : sécurité allergène gluten avant débat économique.";SI(OU(D15="OUI";D16="OUI");"Priorité formateur : arbitrage coût réel, gaspillage et acceptabilité.";"Priorité formateur : faire justifier la diversification et les choix culinaires.")))</v>
      </c>
      <c r="G31" s="897"/>
      <c r="H31" s="897"/>
      <c r="I31" s="897"/>
      <c r="J31" s="897"/>
      <c r="K31" s="897"/>
      <c r="L31" s="897"/>
      <c r="M31" s="897"/>
      <c r="N31" s="897"/>
      <c r="O31" s="897"/>
      <c r="P31" s="897"/>
      <c r="Q31" s="897"/>
      <c r="R31" s="897"/>
      <c r="S31" s="897"/>
      <c r="T31" s="897"/>
      <c r="U31" s="897"/>
    </row>
    <row r="32" spans="1:21" ht="45" customHeight="1" x14ac:dyDescent="0.25">
      <c r="A32" s="17"/>
      <c r="B32" s="16"/>
      <c r="C32" s="16"/>
      <c r="D32" s="16"/>
      <c r="E32" s="16"/>
      <c r="F32" s="16"/>
    </row>
    <row r="33" spans="1:6" ht="45" customHeight="1" x14ac:dyDescent="0.25">
      <c r="A33" s="19" t="s">
        <v>3532</v>
      </c>
      <c r="B33" s="894" t="s">
        <v>2216</v>
      </c>
      <c r="C33" s="895"/>
      <c r="D33" s="895"/>
      <c r="E33" s="895"/>
      <c r="F33" s="16"/>
    </row>
    <row r="34" spans="1:6" ht="45" customHeight="1" x14ac:dyDescent="0.25">
      <c r="A34" s="17"/>
      <c r="B34" s="894" t="s">
        <v>2217</v>
      </c>
      <c r="C34" s="895"/>
      <c r="D34" s="895"/>
      <c r="E34" s="895"/>
      <c r="F34" s="16"/>
    </row>
    <row r="35" spans="1:6" ht="45" customHeight="1" x14ac:dyDescent="0.25">
      <c r="A35" s="17"/>
      <c r="B35" s="894" t="s">
        <v>2218</v>
      </c>
      <c r="C35" s="895"/>
      <c r="D35" s="895"/>
      <c r="E35" s="895"/>
      <c r="F35" s="16"/>
    </row>
    <row r="38" spans="1:6" ht="15.75" customHeight="1" x14ac:dyDescent="0.25"/>
    <row r="40" spans="1:6" ht="15.75" customHeight="1" x14ac:dyDescent="0.25"/>
  </sheetData>
  <mergeCells count="8">
    <mergeCell ref="A1:G1"/>
    <mergeCell ref="B4:E4"/>
    <mergeCell ref="B33:E33"/>
    <mergeCell ref="B34:E34"/>
    <mergeCell ref="B35:E35"/>
    <mergeCell ref="A22:E22"/>
    <mergeCell ref="F31:U31"/>
    <mergeCell ref="F23:U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1F780-329F-4B61-9561-E1DA4C5ED3D4}">
  <sheetPr codeName="Feuil4">
    <tabColor rgb="FFED7D31"/>
  </sheetPr>
  <dimension ref="B1:L29"/>
  <sheetViews>
    <sheetView showGridLines="0" workbookViewId="0">
      <selection activeCell="L7" sqref="L7:L8"/>
    </sheetView>
  </sheetViews>
  <sheetFormatPr baseColWidth="10" defaultColWidth="9.140625" defaultRowHeight="15.75" x14ac:dyDescent="0.25"/>
  <cols>
    <col min="1" max="1" width="6.28515625" style="4" customWidth="1"/>
    <col min="2" max="2" width="24" style="4" customWidth="1"/>
    <col min="3" max="3" width="52.5703125" style="4" customWidth="1"/>
    <col min="4" max="4" width="47.7109375" style="4" customWidth="1"/>
    <col min="5" max="10" width="16" style="4" customWidth="1"/>
    <col min="11" max="11" width="14" style="4" customWidth="1"/>
    <col min="12" max="12" width="42" style="4" customWidth="1"/>
    <col min="13" max="16384" width="9.140625" style="4"/>
  </cols>
  <sheetData>
    <row r="1" spans="2:12" ht="30" customHeight="1" x14ac:dyDescent="0.25">
      <c r="B1" s="793" t="s">
        <v>3553</v>
      </c>
      <c r="C1" s="794"/>
      <c r="D1" s="794"/>
      <c r="E1" s="794"/>
      <c r="F1" s="794"/>
      <c r="G1" s="794"/>
      <c r="H1" s="794"/>
      <c r="I1" s="794"/>
      <c r="J1" s="794"/>
      <c r="K1" s="794"/>
      <c r="L1" s="795"/>
    </row>
    <row r="2" spans="2:12" ht="42" customHeight="1" x14ac:dyDescent="0.25">
      <c r="B2" s="47" t="s">
        <v>2460</v>
      </c>
      <c r="L2" s="768"/>
    </row>
    <row r="3" spans="2:12" ht="21" x14ac:dyDescent="0.25">
      <c r="D3"/>
      <c r="L3" s="769" t="s">
        <v>4701</v>
      </c>
    </row>
    <row r="4" spans="2:12" ht="50.1" customHeight="1" x14ac:dyDescent="0.25">
      <c r="B4" s="237" t="s">
        <v>3534</v>
      </c>
      <c r="C4" s="894" t="s">
        <v>2220</v>
      </c>
      <c r="D4" s="895"/>
      <c r="E4" s="895"/>
      <c r="F4" s="895"/>
    </row>
    <row r="6" spans="2:12" x14ac:dyDescent="0.25">
      <c r="B6" s="237" t="s">
        <v>3535</v>
      </c>
      <c r="C6" s="11" t="str">
        <f>LOWER(SUBSTITUTE(SUBSTITUTE(SUBSTITUTE(SUBSTITUTE(SUBSTITUTE(SUBSTITUTE(SUBSTITUTE(SUBSTITUTE(SUBSTITUTE(SUBSTITUTE(SUBSTITUTE(SUBSTITUTE(SUBSTITUTE(SUBSTITUTE(C4,CHAR(160)," "),"’","'"),"é","e"),"è","e"),"ê","e"),"ë","e"),"à","a"),"â","a"),"î","i"),"ï","i"),"ô","o"),"û","u"),"ù","u"),"ç","c"))</f>
        <v>4;le seitan peut etre utilise ponctuellement, mais uniquement avec un controle clair de l'allergene gluten et une information precise pour les convives.;seitan / gluten</v>
      </c>
      <c r="D6" s="15" t="s">
        <v>2459</v>
      </c>
    </row>
    <row r="8" spans="2:12" ht="21.75" customHeight="1" x14ac:dyDescent="0.25">
      <c r="B8" s="237" t="s">
        <v>3536</v>
      </c>
      <c r="C8" s="238">
        <f>COUNTIF(K13:K19,"OUI")</f>
        <v>1</v>
      </c>
    </row>
    <row r="9" spans="2:12" ht="21.75" customHeight="1" x14ac:dyDescent="0.25">
      <c r="B9" s="237" t="s">
        <v>3537</v>
      </c>
      <c r="C9" s="239" t="str">
        <f>IF(K19="OUI","ALERTE ALLERGENE GLUTEN",IF(COUNTIF(K13:K16,"OUI")=0,"HORS CHAMP",IF(K15="OUI","SOURCE VEGETALE A EVALUER","PISTE DE DIVERSIFICATION")))</f>
        <v>ALERTE ALLERGENE GLUTEN</v>
      </c>
    </row>
    <row r="10" spans="2:12" ht="54.95" customHeight="1" x14ac:dyDescent="0.25">
      <c r="B10" s="237" t="s">
        <v>3538</v>
      </c>
      <c r="C10" s="9" t="str">
        <f>IF(COUNTIF(K13:K19,"OUI")=0,"Aucun signal moteur détecté.",IF(K13="OUI","Substitution détectée. ","")&amp;IF(K14="OUI","Alternative détectée. ","")&amp;IF(K15="OUI","Légumineuse détectée. ","")&amp;IF(K16="OUI","Végétal détecté. ","")&amp;IF(K17="OUI","Arbitrage économique à contrôler. ","")&amp;IF(K18="OUI","Ressenti en bouche à contrôler. ","")&amp;IF(K19="OUI","Alerte seitan/gluten : contrôle allergène obligatoire. ","")&amp;"Contrôler nutrition, coût, allergènes, acceptabilité et gaspillage.")</f>
        <v>Alerte seitan/gluten : contrôle allergène obligatoire. Contrôler nutrition, coût, allergènes, acceptabilité et gaspillage.</v>
      </c>
      <c r="D10" s="10"/>
      <c r="E10" s="10"/>
      <c r="F10" s="10"/>
      <c r="G10" s="10"/>
      <c r="H10" s="10"/>
      <c r="I10" s="10"/>
      <c r="J10" s="10"/>
      <c r="K10" s="10"/>
    </row>
    <row r="11" spans="2:12" x14ac:dyDescent="0.25">
      <c r="B11" s="98" t="s">
        <v>2829</v>
      </c>
    </row>
    <row r="12" spans="2:12" x14ac:dyDescent="0.25">
      <c r="B12" s="241" t="s">
        <v>1979</v>
      </c>
      <c r="C12" s="241" t="s">
        <v>1980</v>
      </c>
      <c r="D12" s="241" t="s">
        <v>1981</v>
      </c>
      <c r="E12" s="241" t="s">
        <v>1982</v>
      </c>
      <c r="F12" s="241" t="s">
        <v>1983</v>
      </c>
      <c r="G12" s="241" t="s">
        <v>1984</v>
      </c>
      <c r="H12" s="241" t="s">
        <v>1985</v>
      </c>
      <c r="I12" s="241" t="s">
        <v>1986</v>
      </c>
      <c r="J12" s="241" t="s">
        <v>1987</v>
      </c>
      <c r="K12" s="241" t="s">
        <v>1988</v>
      </c>
      <c r="L12" s="241" t="s">
        <v>1989</v>
      </c>
    </row>
    <row r="13" spans="2:12" ht="45" customHeight="1" x14ac:dyDescent="0.25">
      <c r="B13" s="8" t="s">
        <v>1442</v>
      </c>
      <c r="C13" s="8" t="s">
        <v>1442</v>
      </c>
      <c r="D13" s="8" t="s">
        <v>1990</v>
      </c>
      <c r="E13" s="8" t="s">
        <v>1991</v>
      </c>
      <c r="F13" s="8" t="s">
        <v>1992</v>
      </c>
      <c r="G13" s="8" t="s">
        <v>1993</v>
      </c>
      <c r="H13" s="8" t="s">
        <v>1994</v>
      </c>
      <c r="I13" s="8" t="s">
        <v>1995</v>
      </c>
      <c r="J13" s="8"/>
      <c r="K13" s="240" t="str">
        <f t="shared" ref="K13:K19" si="0">IF(OR(AND(C13&lt;&gt;"",ISNUMBER(SEARCH(C13,$C$6))),AND(D13&lt;&gt;"",ISNUMBER(SEARCH(D13,$C$6))),AND(E13&lt;&gt;"",ISNUMBER(SEARCH(E13,$C$6))),AND(F13&lt;&gt;"",ISNUMBER(SEARCH(F13,$C$6))),AND(G13&lt;&gt;"",ISNUMBER(SEARCH(G13,$C$6))),AND(H13&lt;&gt;"",ISNUMBER(SEARCH(H13,$C$6))),AND(I13&lt;&gt;"",ISNUMBER(SEARCH(I13,$C$6))),AND(J13&lt;&gt;"",ISNUMBER(SEARCH(J13,$C$6)))),"OUI","")</f>
        <v/>
      </c>
      <c r="L13" s="5" t="s">
        <v>1996</v>
      </c>
    </row>
    <row r="14" spans="2:12" ht="45" customHeight="1" x14ac:dyDescent="0.25">
      <c r="B14" s="8" t="s">
        <v>1453</v>
      </c>
      <c r="C14" s="8" t="s">
        <v>1453</v>
      </c>
      <c r="D14" s="8" t="s">
        <v>1997</v>
      </c>
      <c r="E14" s="8" t="s">
        <v>1998</v>
      </c>
      <c r="F14" s="8" t="s">
        <v>1999</v>
      </c>
      <c r="G14" s="8" t="s">
        <v>2000</v>
      </c>
      <c r="H14" s="8" t="s">
        <v>2001</v>
      </c>
      <c r="I14" s="8"/>
      <c r="J14" s="8"/>
      <c r="K14" s="240" t="str">
        <f t="shared" si="0"/>
        <v/>
      </c>
      <c r="L14" s="5" t="s">
        <v>2002</v>
      </c>
    </row>
    <row r="15" spans="2:12" ht="45" customHeight="1" x14ac:dyDescent="0.25">
      <c r="B15" s="8" t="s">
        <v>1463</v>
      </c>
      <c r="C15" s="8" t="s">
        <v>2003</v>
      </c>
      <c r="D15" s="8" t="s">
        <v>2004</v>
      </c>
      <c r="E15" s="8" t="s">
        <v>2005</v>
      </c>
      <c r="F15" s="8" t="s">
        <v>2006</v>
      </c>
      <c r="G15" s="8" t="s">
        <v>2007</v>
      </c>
      <c r="H15" s="8" t="s">
        <v>2008</v>
      </c>
      <c r="I15" s="8" t="s">
        <v>2009</v>
      </c>
      <c r="J15" s="8" t="s">
        <v>2010</v>
      </c>
      <c r="K15" s="240" t="str">
        <f t="shared" si="0"/>
        <v/>
      </c>
      <c r="L15" s="5" t="s">
        <v>2011</v>
      </c>
    </row>
    <row r="16" spans="2:12" ht="45" customHeight="1" x14ac:dyDescent="0.25">
      <c r="B16" s="8" t="s">
        <v>1473</v>
      </c>
      <c r="C16" s="8" t="s">
        <v>2012</v>
      </c>
      <c r="D16" s="8" t="s">
        <v>2013</v>
      </c>
      <c r="E16" s="8" t="s">
        <v>2014</v>
      </c>
      <c r="F16" s="8" t="s">
        <v>2015</v>
      </c>
      <c r="G16" s="8" t="s">
        <v>2016</v>
      </c>
      <c r="H16" s="8" t="s">
        <v>2017</v>
      </c>
      <c r="I16" s="8" t="s">
        <v>2018</v>
      </c>
      <c r="J16" s="8"/>
      <c r="K16" s="240" t="str">
        <f t="shared" si="0"/>
        <v/>
      </c>
      <c r="L16" s="5" t="s">
        <v>2019</v>
      </c>
    </row>
    <row r="17" spans="2:12" ht="45" customHeight="1" x14ac:dyDescent="0.25">
      <c r="B17" s="8" t="s">
        <v>2020</v>
      </c>
      <c r="C17" s="8" t="s">
        <v>2021</v>
      </c>
      <c r="D17" s="8" t="s">
        <v>1546</v>
      </c>
      <c r="E17" s="8" t="s">
        <v>2022</v>
      </c>
      <c r="F17" s="8" t="s">
        <v>2023</v>
      </c>
      <c r="G17" s="8" t="s">
        <v>2024</v>
      </c>
      <c r="H17" s="8" t="s">
        <v>2025</v>
      </c>
      <c r="I17" s="8" t="s">
        <v>2026</v>
      </c>
      <c r="J17" s="8" t="s">
        <v>2027</v>
      </c>
      <c r="K17" s="240" t="str">
        <f t="shared" si="0"/>
        <v/>
      </c>
      <c r="L17" s="5" t="s">
        <v>2028</v>
      </c>
    </row>
    <row r="18" spans="2:12" ht="45" customHeight="1" x14ac:dyDescent="0.25">
      <c r="B18" s="8" t="s">
        <v>2029</v>
      </c>
      <c r="C18" s="8" t="s">
        <v>2030</v>
      </c>
      <c r="D18" s="8" t="s">
        <v>2031</v>
      </c>
      <c r="E18" s="8" t="s">
        <v>2032</v>
      </c>
      <c r="F18" s="8" t="s">
        <v>2033</v>
      </c>
      <c r="G18" s="8" t="s">
        <v>2034</v>
      </c>
      <c r="H18" s="8" t="s">
        <v>2035</v>
      </c>
      <c r="I18" s="8" t="s">
        <v>2036</v>
      </c>
      <c r="J18" s="8" t="s">
        <v>2037</v>
      </c>
      <c r="K18" s="240" t="str">
        <f t="shared" si="0"/>
        <v/>
      </c>
      <c r="L18" s="5" t="s">
        <v>2038</v>
      </c>
    </row>
    <row r="19" spans="2:12" ht="45" customHeight="1" x14ac:dyDescent="0.25">
      <c r="B19" s="12" t="s">
        <v>2039</v>
      </c>
      <c r="C19" s="12" t="s">
        <v>494</v>
      </c>
      <c r="D19" s="12" t="s">
        <v>2040</v>
      </c>
      <c r="E19" s="12" t="s">
        <v>2041</v>
      </c>
      <c r="F19" s="12" t="s">
        <v>2042</v>
      </c>
      <c r="G19" s="12" t="s">
        <v>2043</v>
      </c>
      <c r="H19" s="12"/>
      <c r="I19" s="767"/>
      <c r="J19" s="12"/>
      <c r="K19" s="240" t="str">
        <f t="shared" si="0"/>
        <v>OUI</v>
      </c>
      <c r="L19" s="12" t="s">
        <v>2044</v>
      </c>
    </row>
    <row r="23" spans="2:12" x14ac:dyDescent="0.25">
      <c r="B23" s="242" t="s">
        <v>2045</v>
      </c>
      <c r="C23" s="243" t="s">
        <v>2046</v>
      </c>
      <c r="D23" s="244"/>
      <c r="E23" s="245" t="s">
        <v>2047</v>
      </c>
      <c r="F23" s="245"/>
      <c r="G23" s="245"/>
      <c r="H23" s="245"/>
      <c r="I23" s="245"/>
      <c r="J23" s="246"/>
    </row>
    <row r="24" spans="2:12" ht="56.1" customHeight="1" x14ac:dyDescent="0.25">
      <c r="B24" s="247" t="s">
        <v>3539</v>
      </c>
      <c r="C24" s="898" t="s">
        <v>2049</v>
      </c>
      <c r="D24" s="899"/>
      <c r="E24" s="51" t="s">
        <v>2050</v>
      </c>
      <c r="F24" s="52"/>
      <c r="G24" s="52"/>
      <c r="H24" s="52"/>
      <c r="I24" s="52"/>
      <c r="J24" s="53"/>
    </row>
    <row r="25" spans="2:12" ht="56.1" customHeight="1" x14ac:dyDescent="0.25">
      <c r="B25" s="247" t="s">
        <v>3540</v>
      </c>
      <c r="C25" s="898" t="s">
        <v>2051</v>
      </c>
      <c r="D25" s="899"/>
      <c r="E25" s="51" t="s">
        <v>2052</v>
      </c>
      <c r="F25" s="52"/>
      <c r="G25" s="52"/>
      <c r="H25" s="52"/>
      <c r="I25" s="52"/>
      <c r="J25" s="53"/>
    </row>
    <row r="26" spans="2:12" ht="56.1" customHeight="1" x14ac:dyDescent="0.25">
      <c r="B26" s="247" t="s">
        <v>3541</v>
      </c>
      <c r="C26" s="898" t="s">
        <v>2053</v>
      </c>
      <c r="D26" s="899"/>
      <c r="E26" s="51" t="s">
        <v>2054</v>
      </c>
      <c r="F26" s="52"/>
      <c r="G26" s="52"/>
      <c r="H26" s="52"/>
      <c r="I26" s="52"/>
      <c r="J26" s="53"/>
    </row>
    <row r="27" spans="2:12" ht="56.1" customHeight="1" x14ac:dyDescent="0.25">
      <c r="B27" s="247" t="s">
        <v>3542</v>
      </c>
      <c r="C27" s="898" t="s">
        <v>2055</v>
      </c>
      <c r="D27" s="899"/>
      <c r="E27" s="51" t="s">
        <v>2056</v>
      </c>
      <c r="F27" s="52"/>
      <c r="G27" s="52"/>
      <c r="H27" s="52"/>
      <c r="I27" s="52"/>
      <c r="J27" s="53"/>
    </row>
    <row r="28" spans="2:12" ht="56.1" customHeight="1" x14ac:dyDescent="0.25">
      <c r="B28" s="5" t="s">
        <v>2057</v>
      </c>
      <c r="C28" s="898" t="s">
        <v>2058</v>
      </c>
      <c r="D28" s="899"/>
      <c r="E28" s="51" t="s">
        <v>2059</v>
      </c>
      <c r="F28" s="52"/>
      <c r="G28" s="52"/>
      <c r="H28" s="52"/>
      <c r="I28" s="52"/>
      <c r="J28" s="53"/>
    </row>
    <row r="29" spans="2:12" ht="69" customHeight="1" thickBot="1" x14ac:dyDescent="0.3">
      <c r="B29" s="247" t="s">
        <v>3543</v>
      </c>
      <c r="C29" s="898" t="s">
        <v>2060</v>
      </c>
      <c r="D29" s="899"/>
      <c r="E29" s="54" t="s">
        <v>2061</v>
      </c>
      <c r="F29" s="55"/>
      <c r="G29" s="55"/>
      <c r="H29" s="55"/>
      <c r="I29" s="55"/>
      <c r="J29" s="56"/>
    </row>
  </sheetData>
  <mergeCells count="8">
    <mergeCell ref="C29:D29"/>
    <mergeCell ref="C4:F4"/>
    <mergeCell ref="B1:L1"/>
    <mergeCell ref="C24:D24"/>
    <mergeCell ref="C25:D25"/>
    <mergeCell ref="C26:D26"/>
    <mergeCell ref="C27:D27"/>
    <mergeCell ref="C28:D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10DA1-6C8C-4F16-8503-BF0E687F8413}">
  <dimension ref="B1:G58"/>
  <sheetViews>
    <sheetView tabSelected="1" workbookViewId="0">
      <selection activeCell="L5" sqref="L5"/>
    </sheetView>
  </sheetViews>
  <sheetFormatPr baseColWidth="10" defaultColWidth="9.140625" defaultRowHeight="15" x14ac:dyDescent="0.25"/>
  <cols>
    <col min="1" max="1" width="9.140625" style="28"/>
    <col min="2" max="2" width="22" style="28" customWidth="1"/>
    <col min="3" max="3" width="58" style="28" customWidth="1"/>
    <col min="4" max="4" width="38" style="28" customWidth="1"/>
    <col min="5" max="5" width="35.140625" style="28" customWidth="1"/>
    <col min="6" max="6" width="31.7109375" style="28" customWidth="1"/>
    <col min="7" max="7" width="8" style="28" customWidth="1"/>
    <col min="8" max="16384" width="9.140625" style="28"/>
  </cols>
  <sheetData>
    <row r="1" spans="2:7" ht="36" customHeight="1" x14ac:dyDescent="0.25">
      <c r="B1" s="1328" t="s">
        <v>5080</v>
      </c>
      <c r="C1" s="1328" t="s">
        <v>5194</v>
      </c>
      <c r="D1" s="1328" t="s">
        <v>5195</v>
      </c>
      <c r="E1" s="1329" t="s">
        <v>5196</v>
      </c>
      <c r="F1" s="1328" t="s">
        <v>5197</v>
      </c>
      <c r="G1" s="1328"/>
    </row>
    <row r="2" spans="2:7" ht="21" customHeight="1" x14ac:dyDescent="0.25">
      <c r="B2" s="1333" t="s">
        <v>5198</v>
      </c>
      <c r="C2" s="1333" t="s">
        <v>5199</v>
      </c>
      <c r="D2" s="1333"/>
      <c r="E2" s="1333" t="s">
        <v>5200</v>
      </c>
      <c r="F2" s="1333" t="s">
        <v>5201</v>
      </c>
      <c r="G2" s="1334"/>
    </row>
    <row r="3" spans="2:7" x14ac:dyDescent="0.25">
      <c r="B3" s="1168"/>
      <c r="C3" s="1168"/>
      <c r="D3" s="1168"/>
      <c r="E3" s="1168"/>
      <c r="F3" s="1168"/>
      <c r="G3" s="1168"/>
    </row>
    <row r="4" spans="2:7" ht="30.75" customHeight="1" x14ac:dyDescent="0.25">
      <c r="B4" s="1331" t="s">
        <v>5093</v>
      </c>
      <c r="C4" s="1332"/>
      <c r="D4" s="1332"/>
      <c r="E4" s="1332"/>
      <c r="F4" s="1332"/>
      <c r="G4" s="1332"/>
    </row>
    <row r="5" spans="2:7" ht="45.95" customHeight="1" x14ac:dyDescent="0.25">
      <c r="B5" s="1171" t="s">
        <v>5202</v>
      </c>
      <c r="C5" s="1172" t="s">
        <v>5203</v>
      </c>
      <c r="D5" s="1172"/>
      <c r="E5" s="1172"/>
      <c r="F5" s="1172"/>
      <c r="G5" s="1172"/>
    </row>
    <row r="6" spans="2:7" ht="45.95" customHeight="1" x14ac:dyDescent="0.25">
      <c r="B6" s="1171" t="s">
        <v>5204</v>
      </c>
      <c r="C6" s="1172" t="s">
        <v>5205</v>
      </c>
      <c r="D6" s="1172"/>
      <c r="E6" s="1172"/>
      <c r="F6" s="1172"/>
      <c r="G6" s="1172"/>
    </row>
    <row r="7" spans="2:7" ht="45.95" customHeight="1" x14ac:dyDescent="0.25">
      <c r="B7" s="1171" t="s">
        <v>5206</v>
      </c>
      <c r="C7" s="1172" t="s">
        <v>5207</v>
      </c>
      <c r="D7" s="1172"/>
      <c r="E7" s="1172"/>
      <c r="F7" s="1172"/>
      <c r="G7" s="1172"/>
    </row>
    <row r="8" spans="2:7" ht="45.95" customHeight="1" x14ac:dyDescent="0.25">
      <c r="B8" s="1171" t="s">
        <v>5208</v>
      </c>
      <c r="C8" s="1172" t="s">
        <v>5209</v>
      </c>
      <c r="D8" s="1172"/>
      <c r="E8" s="1172"/>
      <c r="F8" s="1172"/>
      <c r="G8" s="1172"/>
    </row>
    <row r="9" spans="2:7" ht="45.95" customHeight="1" x14ac:dyDescent="0.25">
      <c r="B9" s="1171" t="s">
        <v>5070</v>
      </c>
      <c r="C9" s="1172" t="s">
        <v>5210</v>
      </c>
      <c r="D9" s="1172"/>
      <c r="E9" s="1172"/>
      <c r="F9" s="1172"/>
      <c r="G9" s="1172"/>
    </row>
    <row r="10" spans="2:7" x14ac:dyDescent="0.25">
      <c r="B10" s="1168"/>
      <c r="C10" s="1168"/>
      <c r="D10" s="1168"/>
      <c r="E10" s="1168"/>
      <c r="F10" s="1168"/>
      <c r="G10" s="1168"/>
    </row>
    <row r="11" spans="2:7" ht="30.75" customHeight="1" x14ac:dyDescent="0.25">
      <c r="B11" s="1331" t="s">
        <v>5211</v>
      </c>
      <c r="C11" s="1332"/>
      <c r="D11" s="1332"/>
      <c r="E11" s="1332"/>
      <c r="F11" s="1332"/>
      <c r="G11" s="1332"/>
    </row>
    <row r="12" spans="2:7" x14ac:dyDescent="0.25">
      <c r="B12" s="1334" t="s">
        <v>3594</v>
      </c>
      <c r="C12" s="1334" t="s">
        <v>2409</v>
      </c>
      <c r="D12" s="1334" t="s">
        <v>5212</v>
      </c>
      <c r="E12" s="1334" t="s">
        <v>5066</v>
      </c>
      <c r="F12" s="1334" t="s">
        <v>5213</v>
      </c>
      <c r="G12" s="1334"/>
    </row>
    <row r="13" spans="2:7" ht="30" x14ac:dyDescent="0.25">
      <c r="B13" s="1178" t="s">
        <v>5214</v>
      </c>
      <c r="C13" s="1168" t="s">
        <v>5215</v>
      </c>
      <c r="D13" s="1168" t="s">
        <v>5216</v>
      </c>
      <c r="E13" s="1168" t="s">
        <v>2891</v>
      </c>
      <c r="F13" s="1168" t="s">
        <v>5217</v>
      </c>
      <c r="G13" s="1168"/>
    </row>
    <row r="14" spans="2:7" ht="30" x14ac:dyDescent="0.25">
      <c r="B14" s="1178" t="s">
        <v>5218</v>
      </c>
      <c r="C14" s="1168" t="s">
        <v>5219</v>
      </c>
      <c r="D14" s="1168" t="s">
        <v>5220</v>
      </c>
      <c r="E14" s="1168" t="s">
        <v>2890</v>
      </c>
      <c r="F14" s="1168" t="s">
        <v>5221</v>
      </c>
      <c r="G14" s="1168"/>
    </row>
    <row r="15" spans="2:7" ht="30" x14ac:dyDescent="0.25">
      <c r="B15" s="1178" t="s">
        <v>5222</v>
      </c>
      <c r="C15" s="1168" t="s">
        <v>5223</v>
      </c>
      <c r="D15" s="1168" t="s">
        <v>5224</v>
      </c>
      <c r="E15" s="1168" t="s">
        <v>5225</v>
      </c>
      <c r="F15" s="1168" t="s">
        <v>5226</v>
      </c>
      <c r="G15" s="1168"/>
    </row>
    <row r="16" spans="2:7" ht="60" x14ac:dyDescent="0.25">
      <c r="B16" s="1178" t="s">
        <v>5227</v>
      </c>
      <c r="C16" s="1168" t="s">
        <v>5228</v>
      </c>
      <c r="D16" s="1168" t="s">
        <v>5229</v>
      </c>
      <c r="E16" s="1168" t="s">
        <v>2890</v>
      </c>
      <c r="F16" s="1168" t="s">
        <v>5230</v>
      </c>
      <c r="G16" s="1168"/>
    </row>
    <row r="17" spans="2:7" ht="45" x14ac:dyDescent="0.25">
      <c r="B17" s="1178" t="s">
        <v>5231</v>
      </c>
      <c r="C17" s="1168" t="s">
        <v>5232</v>
      </c>
      <c r="D17" s="1168" t="s">
        <v>5233</v>
      </c>
      <c r="E17" s="1168" t="s">
        <v>5234</v>
      </c>
      <c r="F17" s="1168" t="s">
        <v>5235</v>
      </c>
      <c r="G17" s="1168"/>
    </row>
    <row r="18" spans="2:7" ht="31.5" x14ac:dyDescent="0.25">
      <c r="B18" s="1178" t="s">
        <v>5236</v>
      </c>
      <c r="C18" s="1168" t="s">
        <v>5237</v>
      </c>
      <c r="D18" s="1168" t="s">
        <v>5238</v>
      </c>
      <c r="E18" s="1168" t="s">
        <v>2890</v>
      </c>
      <c r="F18" s="1168" t="s">
        <v>5239</v>
      </c>
      <c r="G18" s="1168"/>
    </row>
    <row r="19" spans="2:7" x14ac:dyDescent="0.25">
      <c r="B19" s="1168"/>
      <c r="C19" s="1168"/>
      <c r="D19" s="1168"/>
      <c r="E19" s="1168"/>
      <c r="F19" s="1168"/>
      <c r="G19" s="1168"/>
    </row>
    <row r="20" spans="2:7" ht="30.75" customHeight="1" x14ac:dyDescent="0.25">
      <c r="B20" s="1331" t="s">
        <v>5143</v>
      </c>
      <c r="C20" s="1332"/>
      <c r="D20" s="1332"/>
      <c r="E20" s="1332"/>
      <c r="F20" s="1332"/>
      <c r="G20" s="1332"/>
    </row>
    <row r="21" spans="2:7" ht="30" customHeight="1" x14ac:dyDescent="0.25">
      <c r="B21" s="1178" t="s">
        <v>5240</v>
      </c>
      <c r="C21" s="28" t="s">
        <v>5241</v>
      </c>
      <c r="D21" s="1168"/>
      <c r="E21" s="1168"/>
      <c r="F21" s="1168"/>
      <c r="G21" s="1168"/>
    </row>
    <row r="22" spans="2:7" ht="30" customHeight="1" x14ac:dyDescent="0.25">
      <c r="B22" s="1178" t="s">
        <v>5242</v>
      </c>
      <c r="C22" s="28" t="s">
        <v>5243</v>
      </c>
      <c r="D22" s="1168"/>
      <c r="E22" s="1168"/>
      <c r="F22" s="1168"/>
      <c r="G22" s="1168"/>
    </row>
    <row r="23" spans="2:7" ht="30" customHeight="1" x14ac:dyDescent="0.25">
      <c r="B23" s="1178" t="s">
        <v>5244</v>
      </c>
      <c r="C23" s="28" t="s">
        <v>5245</v>
      </c>
      <c r="D23" s="1168"/>
      <c r="E23" s="1168"/>
      <c r="F23" s="1168"/>
      <c r="G23" s="1168"/>
    </row>
    <row r="24" spans="2:7" ht="30" customHeight="1" x14ac:dyDescent="0.25">
      <c r="B24" s="1178" t="s">
        <v>5246</v>
      </c>
      <c r="C24" s="28" t="s">
        <v>5247</v>
      </c>
      <c r="D24" s="1168"/>
      <c r="E24" s="1168"/>
      <c r="F24" s="1168"/>
      <c r="G24" s="1168"/>
    </row>
    <row r="25" spans="2:7" ht="30" customHeight="1" x14ac:dyDescent="0.25">
      <c r="B25" s="1178" t="s">
        <v>5248</v>
      </c>
      <c r="C25" s="28" t="s">
        <v>5249</v>
      </c>
      <c r="D25" s="1168"/>
      <c r="E25" s="1168"/>
      <c r="F25" s="1168"/>
      <c r="G25" s="1168"/>
    </row>
    <row r="26" spans="2:7" ht="30" customHeight="1" x14ac:dyDescent="0.25">
      <c r="B26" s="1178" t="s">
        <v>5250</v>
      </c>
      <c r="C26" s="28" t="s">
        <v>5251</v>
      </c>
      <c r="D26" s="1168"/>
      <c r="E26" s="1168"/>
      <c r="F26" s="1168"/>
      <c r="G26" s="1168"/>
    </row>
    <row r="27" spans="2:7" x14ac:dyDescent="0.25">
      <c r="B27" s="1168"/>
      <c r="C27" s="1168"/>
      <c r="D27" s="1168"/>
      <c r="E27" s="1168"/>
      <c r="F27" s="1168"/>
      <c r="G27" s="1168"/>
    </row>
    <row r="28" spans="2:7" ht="30.75" customHeight="1" x14ac:dyDescent="0.25">
      <c r="B28" s="1331" t="s">
        <v>5252</v>
      </c>
      <c r="C28" s="1332"/>
      <c r="D28" s="1332"/>
      <c r="E28" s="1332"/>
      <c r="F28" s="1332"/>
      <c r="G28" s="1332"/>
    </row>
    <row r="29" spans="2:7" ht="30" customHeight="1" x14ac:dyDescent="0.25">
      <c r="B29" s="1178" t="s">
        <v>1625</v>
      </c>
      <c r="C29" s="28" t="s">
        <v>5253</v>
      </c>
      <c r="D29" s="1168"/>
      <c r="E29" s="1168"/>
      <c r="F29" s="1168"/>
      <c r="G29" s="1168"/>
    </row>
    <row r="30" spans="2:7" ht="30" customHeight="1" x14ac:dyDescent="0.25">
      <c r="B30" s="1178" t="s">
        <v>1545</v>
      </c>
      <c r="C30" s="28" t="s">
        <v>5254</v>
      </c>
      <c r="D30" s="1168"/>
      <c r="E30" s="1168"/>
      <c r="F30" s="1168"/>
      <c r="G30" s="1168"/>
    </row>
    <row r="31" spans="2:7" ht="30" customHeight="1" x14ac:dyDescent="0.25">
      <c r="B31" s="1178" t="s">
        <v>1235</v>
      </c>
      <c r="C31" s="28" t="s">
        <v>5255</v>
      </c>
      <c r="D31" s="1168"/>
      <c r="E31" s="1168"/>
      <c r="F31" s="1168"/>
      <c r="G31" s="1168"/>
    </row>
    <row r="32" spans="2:7" ht="30" customHeight="1" x14ac:dyDescent="0.25">
      <c r="B32" s="1178" t="s">
        <v>1977</v>
      </c>
      <c r="C32" s="28" t="s">
        <v>5256</v>
      </c>
      <c r="D32" s="1168"/>
      <c r="E32" s="1168"/>
      <c r="F32" s="1168"/>
      <c r="G32" s="1168"/>
    </row>
    <row r="33" spans="2:7" ht="30" customHeight="1" x14ac:dyDescent="0.25">
      <c r="B33" s="1178" t="s">
        <v>1483</v>
      </c>
      <c r="C33" s="28" t="s">
        <v>5257</v>
      </c>
      <c r="D33" s="1168"/>
      <c r="E33" s="1168"/>
      <c r="F33" s="1168"/>
      <c r="G33" s="1168"/>
    </row>
    <row r="34" spans="2:7" ht="30" customHeight="1" x14ac:dyDescent="0.25">
      <c r="B34" s="1178" t="s">
        <v>1534</v>
      </c>
      <c r="C34" s="28" t="s">
        <v>5258</v>
      </c>
      <c r="D34" s="1168"/>
      <c r="E34" s="1168"/>
      <c r="F34" s="1168"/>
      <c r="G34" s="1168"/>
    </row>
    <row r="35" spans="2:7" x14ac:dyDescent="0.25">
      <c r="B35" s="1168"/>
      <c r="C35" s="1168"/>
      <c r="D35" s="1168"/>
      <c r="E35" s="1168"/>
      <c r="F35" s="1168"/>
      <c r="G35" s="1168"/>
    </row>
    <row r="36" spans="2:7" ht="30.75" customHeight="1" x14ac:dyDescent="0.25">
      <c r="B36" s="1331" t="s">
        <v>5259</v>
      </c>
      <c r="C36" s="1332"/>
      <c r="D36" s="1332"/>
      <c r="E36" s="1332"/>
      <c r="F36" s="1332"/>
      <c r="G36" s="1332"/>
    </row>
    <row r="37" spans="2:7" ht="30" customHeight="1" x14ac:dyDescent="0.25">
      <c r="B37" s="1178" t="s">
        <v>5260</v>
      </c>
      <c r="C37" s="28" t="s">
        <v>5261</v>
      </c>
      <c r="D37" s="1168"/>
      <c r="E37" s="1168"/>
      <c r="F37" s="1168"/>
      <c r="G37" s="1168"/>
    </row>
    <row r="38" spans="2:7" ht="30" customHeight="1" x14ac:dyDescent="0.25">
      <c r="B38" s="1178" t="s">
        <v>5262</v>
      </c>
      <c r="C38" s="28" t="s">
        <v>5263</v>
      </c>
      <c r="D38" s="1168"/>
      <c r="E38" s="1168"/>
      <c r="F38" s="1168"/>
      <c r="G38" s="1168"/>
    </row>
    <row r="39" spans="2:7" ht="30" customHeight="1" x14ac:dyDescent="0.25">
      <c r="B39" s="1178" t="s">
        <v>5264</v>
      </c>
      <c r="C39" s="28" t="s">
        <v>5265</v>
      </c>
      <c r="D39" s="1168"/>
      <c r="E39" s="1168"/>
      <c r="F39" s="1168"/>
      <c r="G39" s="1168"/>
    </row>
    <row r="40" spans="2:7" ht="30" customHeight="1" x14ac:dyDescent="0.25">
      <c r="B40" s="1178" t="s">
        <v>5266</v>
      </c>
      <c r="C40" s="28" t="s">
        <v>5267</v>
      </c>
      <c r="D40" s="1168"/>
      <c r="E40" s="1168"/>
      <c r="F40" s="1168"/>
      <c r="G40" s="1168"/>
    </row>
    <row r="41" spans="2:7" x14ac:dyDescent="0.25">
      <c r="B41" s="1168"/>
      <c r="C41" s="1168"/>
      <c r="D41" s="1168"/>
      <c r="E41" s="1168"/>
      <c r="F41" s="1168"/>
      <c r="G41" s="1168"/>
    </row>
    <row r="42" spans="2:7" ht="30.75" customHeight="1" x14ac:dyDescent="0.25">
      <c r="B42" s="1331" t="s">
        <v>5268</v>
      </c>
      <c r="C42" s="1332"/>
      <c r="D42" s="1332"/>
      <c r="E42" s="1332"/>
      <c r="F42" s="1332"/>
      <c r="G42" s="1332"/>
    </row>
    <row r="43" spans="2:7" ht="30" customHeight="1" x14ac:dyDescent="0.25">
      <c r="B43" s="1178" t="s">
        <v>5269</v>
      </c>
      <c r="C43" s="28" t="s">
        <v>5270</v>
      </c>
      <c r="D43" s="1168"/>
      <c r="E43" s="1168"/>
      <c r="F43" s="1168"/>
      <c r="G43" s="1168"/>
    </row>
    <row r="44" spans="2:7" ht="30" customHeight="1" x14ac:dyDescent="0.25">
      <c r="B44" s="1178" t="s">
        <v>5271</v>
      </c>
      <c r="C44" s="28" t="s">
        <v>5272</v>
      </c>
      <c r="D44" s="1168"/>
      <c r="E44" s="1168"/>
      <c r="F44" s="1168"/>
      <c r="G44" s="1168"/>
    </row>
    <row r="45" spans="2:7" ht="30" customHeight="1" x14ac:dyDescent="0.25">
      <c r="B45" s="1178" t="s">
        <v>5273</v>
      </c>
      <c r="C45" s="28" t="s">
        <v>5274</v>
      </c>
      <c r="D45" s="1168"/>
      <c r="E45" s="1168"/>
      <c r="F45" s="1168"/>
      <c r="G45" s="1168"/>
    </row>
    <row r="46" spans="2:7" ht="30" customHeight="1" x14ac:dyDescent="0.25">
      <c r="B46" s="1178" t="s">
        <v>5275</v>
      </c>
      <c r="C46" s="28" t="s">
        <v>5276</v>
      </c>
      <c r="D46" s="1168"/>
      <c r="E46" s="1168"/>
      <c r="F46" s="1168"/>
      <c r="G46" s="1168"/>
    </row>
    <row r="47" spans="2:7" ht="30" customHeight="1" x14ac:dyDescent="0.25">
      <c r="B47" s="1178" t="s">
        <v>5277</v>
      </c>
      <c r="C47" s="28" t="s">
        <v>5278</v>
      </c>
      <c r="D47" s="1168"/>
      <c r="E47" s="1168"/>
      <c r="F47" s="1168"/>
      <c r="G47" s="1168"/>
    </row>
    <row r="48" spans="2:7" ht="30" customHeight="1" x14ac:dyDescent="0.25">
      <c r="B48" s="1178"/>
      <c r="D48" s="1168"/>
      <c r="E48" s="1168"/>
      <c r="F48" s="1168"/>
      <c r="G48" s="1168"/>
    </row>
    <row r="49" spans="2:7" ht="18.75" x14ac:dyDescent="0.25">
      <c r="B49" s="1326" t="s">
        <v>5279</v>
      </c>
      <c r="C49" s="1168"/>
      <c r="D49" s="1168"/>
      <c r="E49" s="1168"/>
      <c r="F49" s="1168"/>
      <c r="G49" s="1168"/>
    </row>
    <row r="50" spans="2:7" ht="30.75" customHeight="1" x14ac:dyDescent="0.25">
      <c r="B50" s="1331" t="s">
        <v>5280</v>
      </c>
      <c r="C50" s="1332" t="s">
        <v>5281</v>
      </c>
      <c r="D50" s="1332"/>
      <c r="E50" s="1332"/>
      <c r="F50" s="1332"/>
      <c r="G50" s="1332"/>
    </row>
    <row r="51" spans="2:7" ht="30" customHeight="1" x14ac:dyDescent="0.25">
      <c r="B51" s="1178" t="s">
        <v>5282</v>
      </c>
      <c r="C51" s="28" t="s">
        <v>5283</v>
      </c>
      <c r="D51" s="1168"/>
      <c r="E51" s="1168"/>
      <c r="F51" s="1168"/>
      <c r="G51" s="1168"/>
    </row>
    <row r="52" spans="2:7" ht="30" customHeight="1" x14ac:dyDescent="0.25">
      <c r="B52" s="1178" t="s">
        <v>5284</v>
      </c>
      <c r="C52" s="28" t="s">
        <v>5285</v>
      </c>
      <c r="D52" s="1168"/>
      <c r="E52" s="1168"/>
      <c r="F52" s="1168"/>
      <c r="G52" s="1168"/>
    </row>
    <row r="53" spans="2:7" ht="30" customHeight="1" x14ac:dyDescent="0.25">
      <c r="B53" s="1178" t="s">
        <v>5286</v>
      </c>
      <c r="C53" s="28" t="s">
        <v>5287</v>
      </c>
      <c r="D53" s="1168"/>
      <c r="E53" s="1168"/>
      <c r="F53" s="1168"/>
      <c r="G53" s="1168"/>
    </row>
    <row r="54" spans="2:7" ht="30" customHeight="1" x14ac:dyDescent="0.25">
      <c r="B54" s="1178"/>
      <c r="D54" s="1168"/>
      <c r="E54" s="1168"/>
      <c r="F54" s="1168"/>
      <c r="G54" s="1168"/>
    </row>
    <row r="55" spans="2:7" ht="18.75" x14ac:dyDescent="0.25">
      <c r="B55" s="1326" t="s">
        <v>5288</v>
      </c>
      <c r="C55" s="1168"/>
      <c r="D55" s="1168"/>
      <c r="E55" s="1168"/>
      <c r="F55" s="1168"/>
      <c r="G55" s="1168"/>
    </row>
    <row r="56" spans="2:7" ht="30.75" customHeight="1" x14ac:dyDescent="0.25">
      <c r="B56" s="1331" t="s">
        <v>4967</v>
      </c>
      <c r="C56" s="1332" t="s">
        <v>4966</v>
      </c>
      <c r="D56" s="1332"/>
      <c r="E56" s="1332"/>
      <c r="F56" s="1332"/>
      <c r="G56" s="1332"/>
    </row>
    <row r="57" spans="2:7" ht="30" customHeight="1" x14ac:dyDescent="0.25">
      <c r="B57" s="1178" t="s">
        <v>5289</v>
      </c>
      <c r="C57" s="28" t="s">
        <v>5290</v>
      </c>
      <c r="D57" s="1168"/>
      <c r="E57" s="1168"/>
      <c r="F57" s="1168"/>
      <c r="G57" s="1168"/>
    </row>
    <row r="58" spans="2:7" ht="30" customHeight="1" x14ac:dyDescent="0.25">
      <c r="B58" s="1178" t="s">
        <v>5291</v>
      </c>
      <c r="C58" s="28" t="s">
        <v>5292</v>
      </c>
      <c r="D58" s="1168"/>
      <c r="E58" s="1168"/>
      <c r="F58" s="1168"/>
      <c r="G58" s="1168"/>
    </row>
  </sheetData>
  <mergeCells count="5">
    <mergeCell ref="C5:G5"/>
    <mergeCell ref="C6:G6"/>
    <mergeCell ref="C7:G7"/>
    <mergeCell ref="C8:G8"/>
    <mergeCell ref="C9:G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102F-A69F-4B84-8CC1-78742CB3F52C}">
  <sheetPr codeName="Feuil5">
    <tabColor rgb="FF5B9BD5"/>
  </sheetPr>
  <dimension ref="A1:L36"/>
  <sheetViews>
    <sheetView showGridLines="0" workbookViewId="0">
      <selection activeCell="N5" sqref="N5"/>
    </sheetView>
  </sheetViews>
  <sheetFormatPr baseColWidth="10" defaultColWidth="9.140625" defaultRowHeight="15.75" x14ac:dyDescent="0.25"/>
  <cols>
    <col min="1" max="1" width="12" style="29" customWidth="1"/>
    <col min="2" max="3" width="18" style="29" customWidth="1"/>
    <col min="4" max="4" width="82.5703125" style="29" customWidth="1"/>
    <col min="5" max="5" width="22" style="29" customWidth="1"/>
    <col min="6" max="6" width="37.42578125" style="29" customWidth="1"/>
    <col min="7" max="7" width="44.85546875" style="29" customWidth="1"/>
    <col min="8" max="8" width="54.85546875" style="29" customWidth="1"/>
    <col min="9" max="9" width="52.5703125" style="29" customWidth="1"/>
    <col min="10" max="10" width="45.7109375" style="29" customWidth="1"/>
    <col min="11" max="11" width="43.7109375" style="29" customWidth="1"/>
    <col min="12" max="12" width="77.42578125" style="29" customWidth="1"/>
    <col min="13" max="16384" width="9.140625" style="29"/>
  </cols>
  <sheetData>
    <row r="1" spans="1:12" ht="30" customHeight="1" x14ac:dyDescent="0.25">
      <c r="A1" s="785" t="s">
        <v>1427</v>
      </c>
      <c r="B1" s="786"/>
      <c r="C1" s="786"/>
      <c r="D1" s="786"/>
      <c r="E1" s="786"/>
      <c r="F1" s="787"/>
      <c r="G1" s="279"/>
      <c r="H1" s="279"/>
      <c r="I1" s="279"/>
      <c r="J1" s="279"/>
      <c r="K1" s="279"/>
      <c r="L1" s="279"/>
    </row>
    <row r="2" spans="1:12" ht="42" customHeight="1" x14ac:dyDescent="0.25">
      <c r="A2" s="31" t="s">
        <v>1428</v>
      </c>
      <c r="E2" s="98" t="s">
        <v>2829</v>
      </c>
      <c r="L2" s="768" t="s">
        <v>4701</v>
      </c>
    </row>
    <row r="3" spans="1:12" ht="38.1" customHeight="1" x14ac:dyDescent="0.25">
      <c r="A3" s="280" t="s">
        <v>1429</v>
      </c>
      <c r="B3" s="280" t="s">
        <v>1430</v>
      </c>
      <c r="C3" s="280" t="s">
        <v>1431</v>
      </c>
      <c r="D3" s="280" t="s">
        <v>1432</v>
      </c>
      <c r="E3" s="280" t="s">
        <v>1433</v>
      </c>
      <c r="F3" s="280" t="s">
        <v>1434</v>
      </c>
      <c r="G3" s="280" t="s">
        <v>1435</v>
      </c>
      <c r="H3" s="280" t="s">
        <v>1436</v>
      </c>
      <c r="I3" s="280" t="s">
        <v>1437</v>
      </c>
      <c r="J3" s="280" t="s">
        <v>1438</v>
      </c>
      <c r="K3" s="280" t="s">
        <v>17</v>
      </c>
      <c r="L3" s="280" t="s">
        <v>1439</v>
      </c>
    </row>
    <row r="4" spans="1:12" ht="50.1" customHeight="1" x14ac:dyDescent="0.25">
      <c r="A4" s="32" t="s">
        <v>1440</v>
      </c>
      <c r="B4" s="32" t="s">
        <v>1441</v>
      </c>
      <c r="C4" s="32" t="s">
        <v>1442</v>
      </c>
      <c r="D4" s="32" t="s">
        <v>1443</v>
      </c>
      <c r="E4" s="33" t="s">
        <v>1444</v>
      </c>
      <c r="F4" s="32" t="s">
        <v>1445</v>
      </c>
      <c r="G4" s="32" t="s">
        <v>1446</v>
      </c>
      <c r="H4" s="32" t="s">
        <v>1447</v>
      </c>
      <c r="I4" s="32" t="s">
        <v>1448</v>
      </c>
      <c r="J4" s="32" t="s">
        <v>1449</v>
      </c>
      <c r="K4" s="32" t="s">
        <v>1450</v>
      </c>
      <c r="L4" s="32" t="s">
        <v>1451</v>
      </c>
    </row>
    <row r="5" spans="1:12" ht="50.1" customHeight="1" x14ac:dyDescent="0.25">
      <c r="A5" s="32" t="s">
        <v>1452</v>
      </c>
      <c r="B5" s="32" t="s">
        <v>1441</v>
      </c>
      <c r="C5" s="32" t="s">
        <v>1453</v>
      </c>
      <c r="D5" s="32" t="s">
        <v>1454</v>
      </c>
      <c r="E5" s="33" t="s">
        <v>1444</v>
      </c>
      <c r="F5" s="32" t="s">
        <v>1455</v>
      </c>
      <c r="G5" s="32" t="s">
        <v>1456</v>
      </c>
      <c r="H5" s="32" t="s">
        <v>1457</v>
      </c>
      <c r="I5" s="32" t="s">
        <v>1458</v>
      </c>
      <c r="J5" s="32" t="s">
        <v>1459</v>
      </c>
      <c r="K5" s="32" t="s">
        <v>1460</v>
      </c>
      <c r="L5" s="32" t="s">
        <v>1461</v>
      </c>
    </row>
    <row r="6" spans="1:12" ht="50.1" customHeight="1" x14ac:dyDescent="0.25">
      <c r="A6" s="32" t="s">
        <v>1462</v>
      </c>
      <c r="B6" s="32" t="s">
        <v>1441</v>
      </c>
      <c r="C6" s="32" t="s">
        <v>1463</v>
      </c>
      <c r="D6" s="32" t="s">
        <v>1464</v>
      </c>
      <c r="E6" s="33" t="s">
        <v>1444</v>
      </c>
      <c r="F6" s="32" t="s">
        <v>1465</v>
      </c>
      <c r="G6" s="32" t="s">
        <v>1466</v>
      </c>
      <c r="H6" s="32" t="s">
        <v>1467</v>
      </c>
      <c r="I6" s="32" t="s">
        <v>1468</v>
      </c>
      <c r="J6" s="32" t="s">
        <v>1469</v>
      </c>
      <c r="K6" s="32" t="s">
        <v>1470</v>
      </c>
      <c r="L6" s="32" t="s">
        <v>1471</v>
      </c>
    </row>
    <row r="7" spans="1:12" ht="50.1" customHeight="1" x14ac:dyDescent="0.25">
      <c r="A7" s="32" t="s">
        <v>1472</v>
      </c>
      <c r="B7" s="32" t="s">
        <v>1441</v>
      </c>
      <c r="C7" s="32" t="s">
        <v>1473</v>
      </c>
      <c r="D7" s="32" t="s">
        <v>1474</v>
      </c>
      <c r="E7" s="33" t="s">
        <v>1444</v>
      </c>
      <c r="F7" s="32" t="s">
        <v>1475</v>
      </c>
      <c r="G7" s="32" t="s">
        <v>1476</v>
      </c>
      <c r="H7" s="32" t="s">
        <v>1477</v>
      </c>
      <c r="I7" s="32" t="s">
        <v>1478</v>
      </c>
      <c r="J7" s="32" t="s">
        <v>1479</v>
      </c>
      <c r="K7" s="32" t="s">
        <v>1480</v>
      </c>
      <c r="L7" s="32" t="s">
        <v>1481</v>
      </c>
    </row>
    <row r="8" spans="1:12" ht="50.1" customHeight="1" x14ac:dyDescent="0.25">
      <c r="A8" s="34" t="s">
        <v>1482</v>
      </c>
      <c r="B8" s="34" t="s">
        <v>1483</v>
      </c>
      <c r="C8" s="34" t="s">
        <v>494</v>
      </c>
      <c r="D8" s="34" t="s">
        <v>1484</v>
      </c>
      <c r="E8" s="35" t="s">
        <v>1485</v>
      </c>
      <c r="F8" s="34" t="s">
        <v>1486</v>
      </c>
      <c r="G8" s="34" t="s">
        <v>1487</v>
      </c>
      <c r="H8" s="34" t="s">
        <v>1488</v>
      </c>
      <c r="I8" s="34" t="s">
        <v>1489</v>
      </c>
      <c r="J8" s="34" t="s">
        <v>1490</v>
      </c>
      <c r="K8" s="34" t="s">
        <v>1491</v>
      </c>
      <c r="L8" s="34" t="s">
        <v>1481</v>
      </c>
    </row>
    <row r="9" spans="1:12" ht="50.1" customHeight="1" x14ac:dyDescent="0.25">
      <c r="A9" s="34" t="s">
        <v>1492</v>
      </c>
      <c r="B9" s="34" t="s">
        <v>1483</v>
      </c>
      <c r="C9" s="34" t="s">
        <v>1493</v>
      </c>
      <c r="D9" s="34" t="s">
        <v>1494</v>
      </c>
      <c r="E9" s="35" t="s">
        <v>1495</v>
      </c>
      <c r="F9" s="34" t="s">
        <v>1496</v>
      </c>
      <c r="G9" s="34" t="s">
        <v>1497</v>
      </c>
      <c r="H9" s="34" t="s">
        <v>1498</v>
      </c>
      <c r="I9" s="34" t="s">
        <v>1499</v>
      </c>
      <c r="J9" s="34" t="s">
        <v>1500</v>
      </c>
      <c r="K9" s="34" t="s">
        <v>1501</v>
      </c>
      <c r="L9" s="34" t="s">
        <v>1502</v>
      </c>
    </row>
    <row r="10" spans="1:12" ht="50.1" customHeight="1" x14ac:dyDescent="0.25">
      <c r="A10" s="34" t="s">
        <v>1503</v>
      </c>
      <c r="B10" s="34" t="s">
        <v>1483</v>
      </c>
      <c r="C10" s="34" t="s">
        <v>1504</v>
      </c>
      <c r="D10" s="34" t="s">
        <v>1505</v>
      </c>
      <c r="E10" s="35" t="s">
        <v>1506</v>
      </c>
      <c r="F10" s="34" t="s">
        <v>1507</v>
      </c>
      <c r="G10" s="34" t="s">
        <v>1508</v>
      </c>
      <c r="H10" s="34" t="s">
        <v>1509</v>
      </c>
      <c r="I10" s="34" t="s">
        <v>1510</v>
      </c>
      <c r="J10" s="34" t="s">
        <v>1511</v>
      </c>
      <c r="K10" s="34" t="s">
        <v>1512</v>
      </c>
      <c r="L10" s="34" t="s">
        <v>1502</v>
      </c>
    </row>
    <row r="11" spans="1:12" ht="50.1" customHeight="1" x14ac:dyDescent="0.25">
      <c r="A11" s="34" t="s">
        <v>1513</v>
      </c>
      <c r="B11" s="34" t="s">
        <v>1483</v>
      </c>
      <c r="C11" s="34" t="s">
        <v>1514</v>
      </c>
      <c r="D11" s="34" t="s">
        <v>1515</v>
      </c>
      <c r="E11" s="35" t="s">
        <v>1516</v>
      </c>
      <c r="F11" s="34" t="s">
        <v>1517</v>
      </c>
      <c r="G11" s="34" t="s">
        <v>1518</v>
      </c>
      <c r="H11" s="34" t="s">
        <v>1519</v>
      </c>
      <c r="I11" s="34" t="s">
        <v>1520</v>
      </c>
      <c r="J11" s="34" t="s">
        <v>1521</v>
      </c>
      <c r="K11" s="34" t="s">
        <v>1522</v>
      </c>
      <c r="L11" s="34" t="s">
        <v>1502</v>
      </c>
    </row>
    <row r="12" spans="1:12" ht="50.1" customHeight="1" x14ac:dyDescent="0.25">
      <c r="A12" s="34" t="s">
        <v>1523</v>
      </c>
      <c r="B12" s="34" t="s">
        <v>1483</v>
      </c>
      <c r="C12" s="34" t="s">
        <v>1524</v>
      </c>
      <c r="D12" s="34" t="s">
        <v>1525</v>
      </c>
      <c r="E12" s="35" t="s">
        <v>1526</v>
      </c>
      <c r="F12" s="34" t="s">
        <v>1527</v>
      </c>
      <c r="G12" s="34" t="s">
        <v>1528</v>
      </c>
      <c r="H12" s="34" t="s">
        <v>1529</v>
      </c>
      <c r="I12" s="34" t="s">
        <v>1530</v>
      </c>
      <c r="J12" s="34" t="s">
        <v>1531</v>
      </c>
      <c r="K12" s="34" t="s">
        <v>1532</v>
      </c>
      <c r="L12" s="34" t="s">
        <v>1502</v>
      </c>
    </row>
    <row r="13" spans="1:12" ht="50.1" customHeight="1" x14ac:dyDescent="0.25">
      <c r="A13" s="32" t="s">
        <v>1533</v>
      </c>
      <c r="B13" s="32" t="s">
        <v>1534</v>
      </c>
      <c r="C13" s="32" t="s">
        <v>1535</v>
      </c>
      <c r="D13" s="32" t="s">
        <v>1536</v>
      </c>
      <c r="E13" s="36" t="s">
        <v>1537</v>
      </c>
      <c r="F13" s="32" t="s">
        <v>1538</v>
      </c>
      <c r="G13" s="32" t="s">
        <v>1539</v>
      </c>
      <c r="H13" s="32" t="s">
        <v>1540</v>
      </c>
      <c r="I13" s="32" t="s">
        <v>1541</v>
      </c>
      <c r="J13" s="32" t="s">
        <v>1542</v>
      </c>
      <c r="K13" s="32" t="s">
        <v>1543</v>
      </c>
      <c r="L13" s="32" t="s">
        <v>1481</v>
      </c>
    </row>
    <row r="14" spans="1:12" ht="50.1" customHeight="1" x14ac:dyDescent="0.25">
      <c r="A14" s="32" t="s">
        <v>1544</v>
      </c>
      <c r="B14" s="32" t="s">
        <v>1545</v>
      </c>
      <c r="C14" s="32" t="s">
        <v>1546</v>
      </c>
      <c r="D14" s="32" t="s">
        <v>1547</v>
      </c>
      <c r="E14" s="33" t="s">
        <v>1548</v>
      </c>
      <c r="F14" s="32" t="s">
        <v>1549</v>
      </c>
      <c r="G14" s="32" t="s">
        <v>1550</v>
      </c>
      <c r="H14" s="32" t="s">
        <v>1551</v>
      </c>
      <c r="I14" s="32" t="s">
        <v>1552</v>
      </c>
      <c r="J14" s="32" t="s">
        <v>1553</v>
      </c>
      <c r="K14" s="32" t="s">
        <v>1554</v>
      </c>
      <c r="L14" s="32" t="s">
        <v>1555</v>
      </c>
    </row>
    <row r="15" spans="1:12" ht="50.1" customHeight="1" x14ac:dyDescent="0.25">
      <c r="A15" s="32" t="s">
        <v>1556</v>
      </c>
      <c r="B15" s="32" t="s">
        <v>1545</v>
      </c>
      <c r="C15" s="32" t="s">
        <v>1557</v>
      </c>
      <c r="D15" s="32" t="s">
        <v>1558</v>
      </c>
      <c r="E15" s="33" t="s">
        <v>1548</v>
      </c>
      <c r="F15" s="32" t="s">
        <v>1559</v>
      </c>
      <c r="G15" s="32" t="s">
        <v>1560</v>
      </c>
      <c r="H15" s="32" t="s">
        <v>1561</v>
      </c>
      <c r="I15" s="32" t="s">
        <v>1562</v>
      </c>
      <c r="J15" s="32" t="s">
        <v>1563</v>
      </c>
      <c r="K15" s="32" t="s">
        <v>1564</v>
      </c>
      <c r="L15" s="32" t="s">
        <v>1555</v>
      </c>
    </row>
    <row r="16" spans="1:12" ht="50.1" customHeight="1" x14ac:dyDescent="0.25">
      <c r="A16" s="32" t="s">
        <v>1565</v>
      </c>
      <c r="B16" s="32" t="s">
        <v>1566</v>
      </c>
      <c r="C16" s="32" t="s">
        <v>1567</v>
      </c>
      <c r="D16" s="32" t="s">
        <v>1568</v>
      </c>
      <c r="E16" s="37" t="s">
        <v>1569</v>
      </c>
      <c r="F16" s="32" t="s">
        <v>1570</v>
      </c>
      <c r="G16" s="32" t="s">
        <v>1571</v>
      </c>
      <c r="H16" s="32" t="s">
        <v>1572</v>
      </c>
      <c r="I16" s="32" t="s">
        <v>1573</v>
      </c>
      <c r="J16" s="32" t="s">
        <v>1574</v>
      </c>
      <c r="K16" s="32" t="s">
        <v>1575</v>
      </c>
      <c r="L16" s="32" t="s">
        <v>1451</v>
      </c>
    </row>
    <row r="17" spans="1:12" ht="50.1" customHeight="1" x14ac:dyDescent="0.25">
      <c r="A17" s="32" t="s">
        <v>1576</v>
      </c>
      <c r="B17" s="32" t="s">
        <v>1566</v>
      </c>
      <c r="C17" s="32" t="s">
        <v>1577</v>
      </c>
      <c r="D17" s="32" t="s">
        <v>1578</v>
      </c>
      <c r="E17" s="33" t="s">
        <v>1579</v>
      </c>
      <c r="F17" s="32" t="s">
        <v>1580</v>
      </c>
      <c r="G17" s="32" t="s">
        <v>1581</v>
      </c>
      <c r="H17" s="32" t="s">
        <v>1582</v>
      </c>
      <c r="I17" s="32" t="s">
        <v>1583</v>
      </c>
      <c r="J17" s="32" t="s">
        <v>1584</v>
      </c>
      <c r="K17" s="32" t="s">
        <v>1585</v>
      </c>
      <c r="L17" s="32" t="s">
        <v>1586</v>
      </c>
    </row>
    <row r="18" spans="1:12" ht="50.1" customHeight="1" x14ac:dyDescent="0.25">
      <c r="A18" s="32" t="s">
        <v>1587</v>
      </c>
      <c r="B18" s="32" t="s">
        <v>1588</v>
      </c>
      <c r="C18" s="32" t="s">
        <v>1589</v>
      </c>
      <c r="D18" s="32" t="s">
        <v>2441</v>
      </c>
      <c r="E18" s="33" t="s">
        <v>1590</v>
      </c>
      <c r="F18" s="32" t="s">
        <v>1591</v>
      </c>
      <c r="G18" s="32" t="s">
        <v>1592</v>
      </c>
      <c r="H18" s="32" t="s">
        <v>2442</v>
      </c>
      <c r="I18" s="32" t="s">
        <v>1593</v>
      </c>
      <c r="J18" s="32" t="s">
        <v>1594</v>
      </c>
      <c r="K18" s="32" t="s">
        <v>1595</v>
      </c>
      <c r="L18" s="32" t="s">
        <v>1586</v>
      </c>
    </row>
    <row r="19" spans="1:12" ht="50.1" customHeight="1" x14ac:dyDescent="0.25">
      <c r="A19" s="32" t="s">
        <v>1596</v>
      </c>
      <c r="B19" s="32" t="s">
        <v>1588</v>
      </c>
      <c r="C19" s="32" t="s">
        <v>1597</v>
      </c>
      <c r="D19" s="32" t="s">
        <v>1598</v>
      </c>
      <c r="E19" s="36" t="s">
        <v>1599</v>
      </c>
      <c r="F19" s="32" t="s">
        <v>1600</v>
      </c>
      <c r="G19" s="32" t="s">
        <v>1601</v>
      </c>
      <c r="H19" s="32" t="s">
        <v>1602</v>
      </c>
      <c r="I19" s="32" t="s">
        <v>1603</v>
      </c>
      <c r="J19" s="32" t="s">
        <v>1604</v>
      </c>
      <c r="K19" s="32" t="s">
        <v>1605</v>
      </c>
      <c r="L19" s="32" t="s">
        <v>1502</v>
      </c>
    </row>
    <row r="20" spans="1:12" ht="50.1" customHeight="1" x14ac:dyDescent="0.25">
      <c r="A20" s="32" t="s">
        <v>1606</v>
      </c>
      <c r="B20" s="32" t="s">
        <v>1534</v>
      </c>
      <c r="C20" s="32" t="s">
        <v>1607</v>
      </c>
      <c r="D20" s="32" t="s">
        <v>2443</v>
      </c>
      <c r="E20" s="33" t="s">
        <v>1608</v>
      </c>
      <c r="F20" s="32" t="s">
        <v>1609</v>
      </c>
      <c r="G20" s="32" t="s">
        <v>1610</v>
      </c>
      <c r="H20" s="32" t="s">
        <v>2444</v>
      </c>
      <c r="I20" s="32" t="s">
        <v>1611</v>
      </c>
      <c r="J20" s="32" t="s">
        <v>1612</v>
      </c>
      <c r="K20" s="32" t="s">
        <v>1613</v>
      </c>
      <c r="L20" s="32" t="s">
        <v>1502</v>
      </c>
    </row>
    <row r="21" spans="1:12" ht="50.1" customHeight="1" x14ac:dyDescent="0.25">
      <c r="A21" s="32" t="s">
        <v>1614</v>
      </c>
      <c r="B21" s="32" t="s">
        <v>1534</v>
      </c>
      <c r="C21" s="32" t="s">
        <v>1615</v>
      </c>
      <c r="D21" s="32" t="s">
        <v>1616</v>
      </c>
      <c r="E21" s="37" t="s">
        <v>1617</v>
      </c>
      <c r="F21" s="32" t="s">
        <v>1618</v>
      </c>
      <c r="G21" s="32" t="s">
        <v>1619</v>
      </c>
      <c r="H21" s="32" t="s">
        <v>1620</v>
      </c>
      <c r="I21" s="32" t="s">
        <v>1621</v>
      </c>
      <c r="J21" s="32" t="s">
        <v>1622</v>
      </c>
      <c r="K21" s="32" t="s">
        <v>1623</v>
      </c>
      <c r="L21" s="32" t="s">
        <v>1502</v>
      </c>
    </row>
    <row r="22" spans="1:12" ht="50.1" customHeight="1" x14ac:dyDescent="0.25">
      <c r="A22" s="32" t="s">
        <v>1624</v>
      </c>
      <c r="B22" s="32" t="s">
        <v>1625</v>
      </c>
      <c r="C22" s="32" t="s">
        <v>1626</v>
      </c>
      <c r="D22" s="32" t="s">
        <v>1627</v>
      </c>
      <c r="E22" s="36" t="s">
        <v>1628</v>
      </c>
      <c r="F22" s="32" t="s">
        <v>1629</v>
      </c>
      <c r="G22" s="32" t="s">
        <v>1630</v>
      </c>
      <c r="H22" s="32" t="s">
        <v>1631</v>
      </c>
      <c r="I22" s="32" t="s">
        <v>1632</v>
      </c>
      <c r="J22" s="32" t="s">
        <v>1633</v>
      </c>
      <c r="K22" s="32" t="s">
        <v>1634</v>
      </c>
      <c r="L22" s="32" t="s">
        <v>1471</v>
      </c>
    </row>
    <row r="23" spans="1:12" ht="50.1" customHeight="1" x14ac:dyDescent="0.25">
      <c r="A23" s="32" t="s">
        <v>1635</v>
      </c>
      <c r="B23" s="32" t="s">
        <v>1625</v>
      </c>
      <c r="C23" s="32" t="s">
        <v>398</v>
      </c>
      <c r="D23" s="32" t="s">
        <v>1636</v>
      </c>
      <c r="E23" s="36" t="s">
        <v>1628</v>
      </c>
      <c r="F23" s="32" t="s">
        <v>1637</v>
      </c>
      <c r="G23" s="32" t="s">
        <v>1638</v>
      </c>
      <c r="H23" s="32" t="s">
        <v>1639</v>
      </c>
      <c r="I23" s="32" t="s">
        <v>1640</v>
      </c>
      <c r="J23" s="32" t="s">
        <v>1641</v>
      </c>
      <c r="K23" s="32" t="s">
        <v>1642</v>
      </c>
      <c r="L23" s="32" t="s">
        <v>1471</v>
      </c>
    </row>
    <row r="24" spans="1:12" ht="50.1" customHeight="1" x14ac:dyDescent="0.25">
      <c r="A24" s="32" t="s">
        <v>1643</v>
      </c>
      <c r="B24" s="32" t="s">
        <v>1625</v>
      </c>
      <c r="C24" s="32" t="s">
        <v>1644</v>
      </c>
      <c r="D24" s="32" t="s">
        <v>1645</v>
      </c>
      <c r="E24" s="36" t="s">
        <v>1628</v>
      </c>
      <c r="F24" s="32" t="s">
        <v>1637</v>
      </c>
      <c r="G24" s="32" t="s">
        <v>1646</v>
      </c>
      <c r="H24" s="32" t="s">
        <v>1647</v>
      </c>
      <c r="I24" s="32" t="s">
        <v>1648</v>
      </c>
      <c r="J24" s="32" t="s">
        <v>1649</v>
      </c>
      <c r="K24" s="32" t="s">
        <v>1650</v>
      </c>
      <c r="L24" s="32" t="s">
        <v>1471</v>
      </c>
    </row>
    <row r="25" spans="1:12" ht="50.1" customHeight="1" x14ac:dyDescent="0.25">
      <c r="A25" s="32" t="s">
        <v>1651</v>
      </c>
      <c r="B25" s="32" t="s">
        <v>1625</v>
      </c>
      <c r="C25" s="32" t="s">
        <v>425</v>
      </c>
      <c r="D25" s="32" t="s">
        <v>1652</v>
      </c>
      <c r="E25" s="36" t="s">
        <v>1628</v>
      </c>
      <c r="F25" s="32" t="s">
        <v>1637</v>
      </c>
      <c r="G25" s="32" t="s">
        <v>1653</v>
      </c>
      <c r="H25" s="32" t="s">
        <v>1654</v>
      </c>
      <c r="I25" s="32" t="s">
        <v>1655</v>
      </c>
      <c r="J25" s="32" t="s">
        <v>1656</v>
      </c>
      <c r="K25" s="32" t="s">
        <v>1657</v>
      </c>
      <c r="L25" s="32" t="s">
        <v>1471</v>
      </c>
    </row>
    <row r="26" spans="1:12" ht="50.1" customHeight="1" x14ac:dyDescent="0.25">
      <c r="A26" s="32" t="s">
        <v>1658</v>
      </c>
      <c r="B26" s="32" t="s">
        <v>1625</v>
      </c>
      <c r="C26" s="32" t="s">
        <v>1659</v>
      </c>
      <c r="D26" s="32" t="s">
        <v>1660</v>
      </c>
      <c r="E26" s="36" t="s">
        <v>1628</v>
      </c>
      <c r="F26" s="32" t="s">
        <v>1661</v>
      </c>
      <c r="G26" s="32" t="s">
        <v>1662</v>
      </c>
      <c r="H26" s="32" t="s">
        <v>1663</v>
      </c>
      <c r="I26" s="32" t="s">
        <v>1664</v>
      </c>
      <c r="J26" s="32" t="s">
        <v>1665</v>
      </c>
      <c r="K26" s="32" t="s">
        <v>1666</v>
      </c>
      <c r="L26" s="32" t="s">
        <v>1451</v>
      </c>
    </row>
    <row r="27" spans="1:12" ht="50.1" customHeight="1" x14ac:dyDescent="0.25">
      <c r="A27" s="34" t="s">
        <v>1667</v>
      </c>
      <c r="B27" s="34" t="s">
        <v>1625</v>
      </c>
      <c r="C27" s="34" t="s">
        <v>1668</v>
      </c>
      <c r="D27" s="34" t="s">
        <v>1669</v>
      </c>
      <c r="E27" s="35" t="s">
        <v>1495</v>
      </c>
      <c r="F27" s="34" t="s">
        <v>1670</v>
      </c>
      <c r="G27" s="34" t="s">
        <v>1671</v>
      </c>
      <c r="H27" s="34" t="s">
        <v>1672</v>
      </c>
      <c r="I27" s="34" t="s">
        <v>1673</v>
      </c>
      <c r="J27" s="34" t="s">
        <v>1674</v>
      </c>
      <c r="K27" s="34" t="s">
        <v>1675</v>
      </c>
      <c r="L27" s="34" t="s">
        <v>1502</v>
      </c>
    </row>
    <row r="28" spans="1:12" ht="50.1" customHeight="1" x14ac:dyDescent="0.25">
      <c r="A28" s="34" t="s">
        <v>1676</v>
      </c>
      <c r="B28" s="34" t="s">
        <v>1625</v>
      </c>
      <c r="C28" s="34" t="s">
        <v>1677</v>
      </c>
      <c r="D28" s="34" t="s">
        <v>1678</v>
      </c>
      <c r="E28" s="35" t="s">
        <v>1495</v>
      </c>
      <c r="F28" s="34" t="s">
        <v>1679</v>
      </c>
      <c r="G28" s="34" t="s">
        <v>1680</v>
      </c>
      <c r="H28" s="34" t="s">
        <v>1681</v>
      </c>
      <c r="I28" s="34" t="s">
        <v>1682</v>
      </c>
      <c r="J28" s="34" t="s">
        <v>1683</v>
      </c>
      <c r="K28" s="34" t="s">
        <v>1684</v>
      </c>
      <c r="L28" s="34" t="s">
        <v>1502</v>
      </c>
    </row>
    <row r="29" spans="1:12" ht="50.1" customHeight="1" x14ac:dyDescent="0.25">
      <c r="A29" s="32" t="s">
        <v>1685</v>
      </c>
      <c r="B29" s="32" t="s">
        <v>1686</v>
      </c>
      <c r="C29" s="32" t="s">
        <v>1687</v>
      </c>
      <c r="D29" s="32" t="s">
        <v>1688</v>
      </c>
      <c r="E29" s="37" t="s">
        <v>87</v>
      </c>
      <c r="F29" s="32" t="s">
        <v>1689</v>
      </c>
      <c r="G29" s="32" t="s">
        <v>1690</v>
      </c>
      <c r="H29" s="32" t="s">
        <v>1691</v>
      </c>
      <c r="I29" s="32" t="s">
        <v>1692</v>
      </c>
      <c r="J29" s="32" t="s">
        <v>1693</v>
      </c>
      <c r="K29" s="32" t="s">
        <v>1694</v>
      </c>
      <c r="L29" s="32" t="s">
        <v>1451</v>
      </c>
    </row>
    <row r="30" spans="1:12" ht="50.1" customHeight="1" x14ac:dyDescent="0.25">
      <c r="A30" s="32" t="s">
        <v>1695</v>
      </c>
      <c r="B30" s="32" t="s">
        <v>1696</v>
      </c>
      <c r="C30" s="32" t="s">
        <v>1697</v>
      </c>
      <c r="D30" s="32" t="s">
        <v>1698</v>
      </c>
      <c r="E30" s="37" t="s">
        <v>1699</v>
      </c>
      <c r="F30" s="32" t="s">
        <v>1700</v>
      </c>
      <c r="G30" s="32" t="s">
        <v>1701</v>
      </c>
      <c r="H30" s="32" t="s">
        <v>1702</v>
      </c>
      <c r="I30" s="32" t="s">
        <v>1703</v>
      </c>
      <c r="J30" s="32" t="s">
        <v>1704</v>
      </c>
      <c r="K30" s="32" t="s">
        <v>1705</v>
      </c>
      <c r="L30" s="32" t="s">
        <v>1586</v>
      </c>
    </row>
    <row r="31" spans="1:12" ht="50.1" customHeight="1" x14ac:dyDescent="0.25">
      <c r="A31" s="39" t="s">
        <v>1706</v>
      </c>
      <c r="B31" s="39" t="s">
        <v>1707</v>
      </c>
      <c r="C31" s="39" t="s">
        <v>1708</v>
      </c>
      <c r="D31" s="39" t="s">
        <v>1709</v>
      </c>
      <c r="E31" s="40" t="s">
        <v>1710</v>
      </c>
      <c r="F31" s="39" t="s">
        <v>1711</v>
      </c>
      <c r="G31" s="39" t="s">
        <v>1712</v>
      </c>
      <c r="H31" s="39" t="s">
        <v>1713</v>
      </c>
      <c r="I31" s="32" t="s">
        <v>1714</v>
      </c>
      <c r="J31" s="32" t="s">
        <v>1715</v>
      </c>
      <c r="K31" s="32" t="s">
        <v>1716</v>
      </c>
      <c r="L31" s="32" t="s">
        <v>1451</v>
      </c>
    </row>
    <row r="32" spans="1:12" ht="45" x14ac:dyDescent="0.25">
      <c r="A32" s="41" t="s">
        <v>2445</v>
      </c>
      <c r="B32" s="42" t="s">
        <v>1588</v>
      </c>
      <c r="C32" s="42" t="s">
        <v>2446</v>
      </c>
      <c r="D32" s="42" t="s">
        <v>2447</v>
      </c>
      <c r="E32" s="42" t="s">
        <v>1590</v>
      </c>
      <c r="F32" s="42" t="s">
        <v>2448</v>
      </c>
      <c r="G32" s="42" t="s">
        <v>2449</v>
      </c>
      <c r="H32" s="43" t="s">
        <v>2450</v>
      </c>
    </row>
    <row r="33" spans="1:8" ht="45.75" thickBot="1" x14ac:dyDescent="0.3">
      <c r="A33" s="44" t="s">
        <v>2451</v>
      </c>
      <c r="B33" s="45" t="s">
        <v>1534</v>
      </c>
      <c r="C33" s="45" t="s">
        <v>2452</v>
      </c>
      <c r="D33" s="45" t="s">
        <v>2453</v>
      </c>
      <c r="E33" s="45" t="s">
        <v>1608</v>
      </c>
      <c r="F33" s="45" t="s">
        <v>2454</v>
      </c>
      <c r="G33" s="45" t="s">
        <v>2455</v>
      </c>
      <c r="H33" s="46" t="s">
        <v>2456</v>
      </c>
    </row>
    <row r="35" spans="1:8" x14ac:dyDescent="0.25">
      <c r="D35" s="38" t="s">
        <v>2458</v>
      </c>
    </row>
    <row r="36" spans="1:8" x14ac:dyDescent="0.25">
      <c r="D36" s="38" t="s">
        <v>2457</v>
      </c>
    </row>
  </sheetData>
  <mergeCells count="1">
    <mergeCell ref="A1:F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E6226-42C6-449A-AFC2-1ED919E3EE9B}">
  <dimension ref="A1:Q173"/>
  <sheetViews>
    <sheetView workbookViewId="0">
      <selection activeCell="P173" sqref="A173:P173"/>
    </sheetView>
  </sheetViews>
  <sheetFormatPr baseColWidth="10" defaultRowHeight="15.75" x14ac:dyDescent="0.25"/>
  <cols>
    <col min="1" max="16" width="11.42578125" style="771"/>
    <col min="17" max="17" width="127.7109375" style="782" customWidth="1"/>
    <col min="18" max="16384" width="11.42578125" style="771"/>
  </cols>
  <sheetData>
    <row r="1" spans="1:17" ht="18.75" x14ac:dyDescent="0.25">
      <c r="A1" s="770"/>
      <c r="B1" s="770"/>
      <c r="C1" s="770"/>
      <c r="D1" s="770"/>
      <c r="E1" s="770"/>
      <c r="F1" s="770"/>
      <c r="G1" s="770"/>
      <c r="H1" s="770"/>
      <c r="I1" s="770"/>
      <c r="J1" s="770"/>
      <c r="K1" s="770"/>
      <c r="L1" s="770"/>
      <c r="M1" s="770"/>
      <c r="N1" s="770"/>
      <c r="O1" s="770"/>
      <c r="Q1" s="777"/>
    </row>
    <row r="2" spans="1:17" ht="18.75" x14ac:dyDescent="0.3">
      <c r="A2" s="770"/>
      <c r="B2" s="772" t="s">
        <v>4702</v>
      </c>
      <c r="C2" s="770"/>
      <c r="D2" s="770"/>
      <c r="E2" s="770"/>
      <c r="F2" s="770"/>
      <c r="G2" s="770"/>
      <c r="H2" s="770"/>
      <c r="I2" s="770"/>
      <c r="J2" s="770"/>
      <c r="K2" s="770"/>
      <c r="L2" s="770"/>
      <c r="M2" s="770"/>
      <c r="N2" s="770"/>
      <c r="O2" s="770"/>
      <c r="Q2" s="778"/>
    </row>
    <row r="3" spans="1:17" x14ac:dyDescent="0.25">
      <c r="A3" s="773" t="s">
        <v>4703</v>
      </c>
      <c r="B3" s="774" t="s">
        <v>4704</v>
      </c>
      <c r="C3" s="770"/>
      <c r="D3" s="770"/>
      <c r="E3" s="770"/>
      <c r="F3" s="770"/>
      <c r="G3" s="770"/>
      <c r="H3" s="770"/>
      <c r="I3" s="770"/>
      <c r="J3" s="770"/>
      <c r="K3" s="770"/>
      <c r="L3" s="770"/>
      <c r="M3" s="770"/>
      <c r="N3" s="770"/>
      <c r="O3" s="770"/>
      <c r="Q3" s="779" t="s">
        <v>4818</v>
      </c>
    </row>
    <row r="4" spans="1:17" x14ac:dyDescent="0.25">
      <c r="A4" s="770"/>
      <c r="B4" s="770"/>
      <c r="C4" s="770"/>
      <c r="D4" s="770"/>
      <c r="E4" s="770"/>
      <c r="F4" s="770"/>
      <c r="G4" s="770"/>
      <c r="H4" s="770"/>
      <c r="I4" s="770"/>
      <c r="J4" s="770"/>
      <c r="K4" s="770"/>
      <c r="L4" s="770"/>
      <c r="M4" s="770"/>
      <c r="N4" s="770"/>
      <c r="O4" s="770"/>
      <c r="Q4" s="778"/>
    </row>
    <row r="5" spans="1:17" ht="18.75" x14ac:dyDescent="0.3">
      <c r="A5" s="770"/>
      <c r="B5" s="775" t="s">
        <v>4705</v>
      </c>
      <c r="C5" s="770"/>
      <c r="D5" s="770"/>
      <c r="E5" s="770"/>
      <c r="F5" s="770"/>
      <c r="G5" s="770"/>
      <c r="H5" s="770"/>
      <c r="I5" s="770"/>
      <c r="J5" s="770"/>
      <c r="K5" s="770"/>
      <c r="L5" s="770"/>
      <c r="M5" s="770"/>
      <c r="N5" s="770"/>
      <c r="O5" s="770"/>
      <c r="Q5" s="900" t="s">
        <v>4819</v>
      </c>
    </row>
    <row r="6" spans="1:17" ht="15" x14ac:dyDescent="0.25">
      <c r="A6" s="770"/>
      <c r="B6" s="770" t="s">
        <v>4706</v>
      </c>
      <c r="C6" s="770"/>
      <c r="D6" s="770"/>
      <c r="E6" s="770"/>
      <c r="F6" s="770"/>
      <c r="G6" s="770"/>
      <c r="H6" s="770"/>
      <c r="I6" s="770"/>
      <c r="J6" s="770"/>
      <c r="K6" s="770"/>
      <c r="L6" s="770"/>
      <c r="M6" s="770"/>
      <c r="N6" s="770"/>
      <c r="O6" s="770"/>
      <c r="Q6" s="900"/>
    </row>
    <row r="7" spans="1:17" ht="15" x14ac:dyDescent="0.25">
      <c r="A7" s="770"/>
      <c r="B7" s="770"/>
      <c r="C7" s="770"/>
      <c r="D7" s="770"/>
      <c r="E7" s="770"/>
      <c r="F7" s="770"/>
      <c r="G7" s="770"/>
      <c r="H7" s="770"/>
      <c r="I7" s="770"/>
      <c r="J7" s="770"/>
      <c r="K7" s="770"/>
      <c r="L7" s="770"/>
      <c r="M7" s="770"/>
      <c r="N7" s="770"/>
      <c r="O7" s="770"/>
      <c r="Q7" s="900"/>
    </row>
    <row r="8" spans="1:17" ht="15" x14ac:dyDescent="0.25">
      <c r="A8" s="770"/>
      <c r="B8" s="770" t="s">
        <v>4707</v>
      </c>
      <c r="C8" s="770"/>
      <c r="D8" s="770"/>
      <c r="E8" s="770"/>
      <c r="F8" s="770"/>
      <c r="G8" s="770"/>
      <c r="H8" s="770"/>
      <c r="I8" s="770"/>
      <c r="J8" s="770"/>
      <c r="K8" s="770"/>
      <c r="L8" s="770"/>
      <c r="M8" s="770"/>
      <c r="N8" s="770"/>
      <c r="O8" s="770"/>
      <c r="Q8" s="900"/>
    </row>
    <row r="9" spans="1:17" ht="15" x14ac:dyDescent="0.25">
      <c r="A9" s="770"/>
      <c r="B9" s="770" t="s">
        <v>4708</v>
      </c>
      <c r="C9" s="770"/>
      <c r="D9" s="770"/>
      <c r="E9" s="770"/>
      <c r="F9" s="770"/>
      <c r="G9" s="770"/>
      <c r="H9" s="770"/>
      <c r="I9" s="770"/>
      <c r="J9" s="770"/>
      <c r="K9" s="770"/>
      <c r="L9" s="770"/>
      <c r="M9" s="770"/>
      <c r="N9" s="770"/>
      <c r="O9" s="770"/>
      <c r="Q9" t="s">
        <v>4820</v>
      </c>
    </row>
    <row r="10" spans="1:17" ht="15" x14ac:dyDescent="0.25">
      <c r="A10" s="770"/>
      <c r="B10" s="770" t="s">
        <v>4709</v>
      </c>
      <c r="C10" s="770"/>
      <c r="D10" s="770"/>
      <c r="E10" s="770"/>
      <c r="F10" s="770"/>
      <c r="G10" s="770"/>
      <c r="H10" s="770"/>
      <c r="I10" s="770"/>
      <c r="J10" s="770"/>
      <c r="K10" s="770"/>
      <c r="L10" s="770"/>
      <c r="M10" s="770"/>
      <c r="N10" s="770"/>
      <c r="O10" s="770"/>
      <c r="Q10" s="780" t="s">
        <v>4821</v>
      </c>
    </row>
    <row r="11" spans="1:17" ht="15" x14ac:dyDescent="0.25">
      <c r="A11" s="770"/>
      <c r="B11" s="770" t="s">
        <v>4710</v>
      </c>
      <c r="C11" s="770"/>
      <c r="D11" s="770"/>
      <c r="E11" s="770"/>
      <c r="F11" s="770"/>
      <c r="G11" s="770"/>
      <c r="H11" s="770"/>
      <c r="I11" s="770"/>
      <c r="J11" s="770"/>
      <c r="K11" s="770"/>
      <c r="L11" s="770"/>
      <c r="M11" s="770"/>
      <c r="N11" s="770"/>
      <c r="O11" s="770"/>
      <c r="Q11"/>
    </row>
    <row r="12" spans="1:17" ht="15" x14ac:dyDescent="0.25">
      <c r="A12" s="770"/>
      <c r="B12" s="770" t="s">
        <v>4711</v>
      </c>
      <c r="C12" s="770"/>
      <c r="D12" s="770"/>
      <c r="E12" s="770"/>
      <c r="F12" s="770"/>
      <c r="G12" s="770"/>
      <c r="H12" s="770"/>
      <c r="I12" s="770"/>
      <c r="J12" s="770"/>
      <c r="K12" s="770"/>
      <c r="L12" s="770"/>
      <c r="M12" s="770"/>
      <c r="N12" s="770"/>
      <c r="O12" s="770"/>
      <c r="Q12" s="780" t="s">
        <v>4822</v>
      </c>
    </row>
    <row r="13" spans="1:17" ht="15" x14ac:dyDescent="0.25">
      <c r="A13" s="770"/>
      <c r="B13" s="770" t="s">
        <v>4712</v>
      </c>
      <c r="C13" s="770"/>
      <c r="D13" s="770"/>
      <c r="E13" s="770"/>
      <c r="F13" s="770"/>
      <c r="G13" s="770"/>
      <c r="H13" s="770"/>
      <c r="I13" s="770"/>
      <c r="J13" s="770"/>
      <c r="K13" s="770"/>
      <c r="L13" s="770"/>
      <c r="M13" s="770"/>
      <c r="N13" s="770"/>
      <c r="O13" s="770"/>
      <c r="Q13"/>
    </row>
    <row r="14" spans="1:17" ht="15" x14ac:dyDescent="0.25">
      <c r="A14" s="770"/>
      <c r="B14" s="770"/>
      <c r="C14" s="770"/>
      <c r="D14" s="770"/>
      <c r="E14" s="770"/>
      <c r="F14" s="770"/>
      <c r="G14" s="770"/>
      <c r="H14" s="770"/>
      <c r="I14" s="770"/>
      <c r="J14" s="770"/>
      <c r="K14" s="770"/>
      <c r="L14" s="770"/>
      <c r="M14" s="770"/>
      <c r="N14" s="770"/>
      <c r="O14" s="770"/>
      <c r="Q14" s="780" t="s">
        <v>4823</v>
      </c>
    </row>
    <row r="15" spans="1:17" ht="15" x14ac:dyDescent="0.25">
      <c r="A15" s="770"/>
      <c r="B15" s="770" t="s">
        <v>4713</v>
      </c>
      <c r="C15" s="770"/>
      <c r="D15" s="770"/>
      <c r="E15" s="770"/>
      <c r="F15" s="770"/>
      <c r="G15" s="770"/>
      <c r="H15" s="770"/>
      <c r="I15" s="770"/>
      <c r="J15" s="770"/>
      <c r="K15" s="770"/>
      <c r="L15" s="770"/>
      <c r="M15" s="770"/>
      <c r="N15" s="770"/>
      <c r="O15" s="770"/>
      <c r="Q15" s="780" t="s">
        <v>4824</v>
      </c>
    </row>
    <row r="16" spans="1:17" ht="15" x14ac:dyDescent="0.25">
      <c r="A16" s="770"/>
      <c r="B16" s="770" t="s">
        <v>4714</v>
      </c>
      <c r="C16" s="770"/>
      <c r="D16" s="770"/>
      <c r="E16" s="770"/>
      <c r="F16" s="770"/>
      <c r="G16" s="770"/>
      <c r="H16" s="770"/>
      <c r="I16" s="770"/>
      <c r="J16" s="770"/>
      <c r="K16" s="770"/>
      <c r="L16" s="770"/>
      <c r="M16" s="770"/>
      <c r="N16" s="770"/>
      <c r="O16" s="770"/>
      <c r="Q16"/>
    </row>
    <row r="17" spans="1:17" ht="15" x14ac:dyDescent="0.25">
      <c r="A17" s="770"/>
      <c r="B17" s="770" t="s">
        <v>4715</v>
      </c>
      <c r="C17" s="770"/>
      <c r="D17" s="770"/>
      <c r="E17" s="770"/>
      <c r="F17" s="770"/>
      <c r="G17" s="770"/>
      <c r="H17" s="770"/>
      <c r="I17" s="770"/>
      <c r="J17" s="770"/>
      <c r="K17" s="770"/>
      <c r="L17" s="770"/>
      <c r="M17" s="770"/>
      <c r="N17" s="770"/>
      <c r="O17" s="770"/>
      <c r="Q17" s="780" t="s">
        <v>4825</v>
      </c>
    </row>
    <row r="18" spans="1:17" ht="15" x14ac:dyDescent="0.25">
      <c r="A18" s="770"/>
      <c r="B18" s="770" t="s">
        <v>4716</v>
      </c>
      <c r="C18" s="770"/>
      <c r="D18" s="770"/>
      <c r="E18" s="770"/>
      <c r="F18" s="770"/>
      <c r="G18" s="770"/>
      <c r="H18" s="770"/>
      <c r="I18" s="770"/>
      <c r="J18" s="770"/>
      <c r="K18" s="770"/>
      <c r="L18" s="770"/>
      <c r="M18" s="770"/>
      <c r="N18" s="770"/>
      <c r="O18" s="770"/>
      <c r="Q18" s="780" t="s">
        <v>4826</v>
      </c>
    </row>
    <row r="19" spans="1:17" ht="15" x14ac:dyDescent="0.25">
      <c r="A19" s="770"/>
      <c r="B19" s="770"/>
      <c r="C19" s="770"/>
      <c r="D19" s="770"/>
      <c r="E19" s="770"/>
      <c r="F19" s="770"/>
      <c r="G19" s="770"/>
      <c r="H19" s="770"/>
      <c r="I19" s="770"/>
      <c r="J19" s="770"/>
      <c r="K19" s="770"/>
      <c r="L19" s="770"/>
      <c r="M19" s="770"/>
      <c r="N19" s="770"/>
      <c r="O19" s="770"/>
      <c r="Q19" s="780" t="s">
        <v>4827</v>
      </c>
    </row>
    <row r="20" spans="1:17" ht="15" x14ac:dyDescent="0.25">
      <c r="A20" s="770"/>
      <c r="B20" s="770" t="s">
        <v>4717</v>
      </c>
      <c r="C20" s="770"/>
      <c r="D20" s="770"/>
      <c r="E20" s="770"/>
      <c r="F20" s="770"/>
      <c r="G20" s="770"/>
      <c r="H20" s="770"/>
      <c r="I20" s="770"/>
      <c r="J20" s="770"/>
      <c r="K20" s="770"/>
      <c r="L20" s="770"/>
      <c r="M20" s="770"/>
      <c r="N20" s="770"/>
      <c r="O20" s="770"/>
      <c r="Q20" s="780" t="s">
        <v>4828</v>
      </c>
    </row>
    <row r="21" spans="1:17" ht="15" x14ac:dyDescent="0.25">
      <c r="A21" s="770"/>
      <c r="B21" s="770" t="s">
        <v>4718</v>
      </c>
      <c r="C21" s="770"/>
      <c r="D21" s="770"/>
      <c r="E21" s="770"/>
      <c r="F21" s="770"/>
      <c r="G21" s="770"/>
      <c r="H21" s="770"/>
      <c r="I21" s="770"/>
      <c r="J21" s="770"/>
      <c r="K21" s="770"/>
      <c r="L21" s="770"/>
      <c r="M21" s="770"/>
      <c r="N21" s="770"/>
      <c r="O21" s="770"/>
      <c r="Q21" s="780" t="s">
        <v>4829</v>
      </c>
    </row>
    <row r="22" spans="1:17" ht="15" x14ac:dyDescent="0.25">
      <c r="A22" s="770"/>
      <c r="B22" s="770" t="s">
        <v>4719</v>
      </c>
      <c r="C22" s="770"/>
      <c r="D22" s="770"/>
      <c r="E22" s="770"/>
      <c r="F22" s="770"/>
      <c r="G22" s="770"/>
      <c r="H22" s="770"/>
      <c r="I22" s="770"/>
      <c r="J22" s="770"/>
      <c r="K22" s="770"/>
      <c r="L22" s="770"/>
      <c r="M22" s="770"/>
      <c r="N22" s="770"/>
      <c r="O22" s="770"/>
      <c r="Q22" s="780" t="s">
        <v>4830</v>
      </c>
    </row>
    <row r="23" spans="1:17" ht="15" x14ac:dyDescent="0.25">
      <c r="A23" s="770"/>
      <c r="B23" s="770" t="s">
        <v>4720</v>
      </c>
      <c r="C23" s="770"/>
      <c r="D23" s="770"/>
      <c r="E23" s="770"/>
      <c r="F23" s="770"/>
      <c r="G23" s="770"/>
      <c r="H23" s="770"/>
      <c r="I23" s="770"/>
      <c r="J23" s="770"/>
      <c r="K23" s="770"/>
      <c r="L23" s="770"/>
      <c r="M23" s="770"/>
      <c r="N23" s="770"/>
      <c r="O23" s="770"/>
      <c r="Q23" s="780" t="s">
        <v>4831</v>
      </c>
    </row>
    <row r="24" spans="1:17" ht="15" x14ac:dyDescent="0.25">
      <c r="A24" s="770"/>
      <c r="B24" s="770" t="s">
        <v>4721</v>
      </c>
      <c r="C24" s="770"/>
      <c r="D24" s="770"/>
      <c r="E24" s="770"/>
      <c r="F24" s="770"/>
      <c r="G24" s="770"/>
      <c r="H24" s="770"/>
      <c r="I24" s="770"/>
      <c r="J24" s="770"/>
      <c r="K24" s="770"/>
      <c r="L24" s="770"/>
      <c r="M24" s="770"/>
      <c r="N24" s="770"/>
      <c r="O24" s="770"/>
      <c r="Q24" s="780" t="s">
        <v>4832</v>
      </c>
    </row>
    <row r="25" spans="1:17" ht="15" x14ac:dyDescent="0.25">
      <c r="A25" s="770"/>
      <c r="B25" s="770" t="s">
        <v>4722</v>
      </c>
      <c r="C25" s="770"/>
      <c r="D25" s="770"/>
      <c r="E25" s="770"/>
      <c r="F25" s="770"/>
      <c r="G25" s="770"/>
      <c r="H25" s="770"/>
      <c r="I25" s="770"/>
      <c r="J25" s="770"/>
      <c r="K25" s="770"/>
      <c r="L25" s="770"/>
      <c r="M25" s="770"/>
      <c r="N25" s="770"/>
      <c r="O25" s="770"/>
      <c r="Q25" s="780" t="s">
        <v>4833</v>
      </c>
    </row>
    <row r="26" spans="1:17" ht="15" x14ac:dyDescent="0.25">
      <c r="A26" s="770"/>
      <c r="B26" s="770" t="s">
        <v>4723</v>
      </c>
      <c r="C26" s="770"/>
      <c r="D26" s="770"/>
      <c r="E26" s="770"/>
      <c r="F26" s="770"/>
      <c r="G26" s="770"/>
      <c r="H26" s="770"/>
      <c r="I26" s="770"/>
      <c r="J26" s="770"/>
      <c r="K26" s="770"/>
      <c r="L26" s="770"/>
      <c r="M26" s="770"/>
      <c r="N26" s="770"/>
      <c r="O26" s="770"/>
      <c r="Q26" s="780" t="s">
        <v>4834</v>
      </c>
    </row>
    <row r="27" spans="1:17" ht="15" x14ac:dyDescent="0.25">
      <c r="A27" s="770"/>
      <c r="B27" s="770" t="s">
        <v>4724</v>
      </c>
      <c r="C27" s="770"/>
      <c r="D27" s="770"/>
      <c r="E27" s="770"/>
      <c r="F27" s="770"/>
      <c r="G27" s="770"/>
      <c r="H27" s="770"/>
      <c r="I27" s="770"/>
      <c r="J27" s="770"/>
      <c r="K27" s="770"/>
      <c r="L27" s="770"/>
      <c r="M27" s="770"/>
      <c r="N27" s="770"/>
      <c r="O27" s="770"/>
      <c r="Q27" s="780" t="s">
        <v>4835</v>
      </c>
    </row>
    <row r="28" spans="1:17" ht="15" x14ac:dyDescent="0.25">
      <c r="A28" s="770"/>
      <c r="B28" s="770" t="s">
        <v>4725</v>
      </c>
      <c r="C28" s="770"/>
      <c r="D28" s="770"/>
      <c r="E28" s="770"/>
      <c r="F28" s="770"/>
      <c r="G28" s="770"/>
      <c r="H28" s="770"/>
      <c r="I28" s="770"/>
      <c r="J28" s="770"/>
      <c r="K28" s="770"/>
      <c r="L28" s="770"/>
      <c r="M28" s="770"/>
      <c r="N28" s="770"/>
      <c r="O28" s="770"/>
      <c r="Q28" s="780" t="s">
        <v>4836</v>
      </c>
    </row>
    <row r="29" spans="1:17" ht="15" x14ac:dyDescent="0.25">
      <c r="A29" s="770"/>
      <c r="B29" s="770" t="s">
        <v>4726</v>
      </c>
      <c r="C29" s="770"/>
      <c r="D29" s="770"/>
      <c r="E29" s="770"/>
      <c r="F29" s="770"/>
      <c r="G29" s="770"/>
      <c r="H29" s="770"/>
      <c r="I29" s="770"/>
      <c r="J29" s="770"/>
      <c r="K29" s="770"/>
      <c r="L29" s="770"/>
      <c r="M29" s="770"/>
      <c r="N29" s="770"/>
      <c r="O29" s="770"/>
      <c r="Q29" s="780" t="s">
        <v>4837</v>
      </c>
    </row>
    <row r="30" spans="1:17" ht="15" x14ac:dyDescent="0.25">
      <c r="A30" s="770"/>
      <c r="B30" s="770" t="s">
        <v>4727</v>
      </c>
      <c r="C30" s="770"/>
      <c r="D30" s="770"/>
      <c r="E30" s="770"/>
      <c r="F30" s="770"/>
      <c r="G30" s="770"/>
      <c r="H30" s="770"/>
      <c r="I30" s="770"/>
      <c r="J30" s="770"/>
      <c r="K30" s="770"/>
      <c r="L30" s="770"/>
      <c r="M30" s="770"/>
      <c r="N30" s="770"/>
      <c r="O30" s="770"/>
      <c r="Q30" s="780" t="s">
        <v>4838</v>
      </c>
    </row>
    <row r="31" spans="1:17" ht="15" x14ac:dyDescent="0.25">
      <c r="A31" s="770"/>
      <c r="B31" s="770" t="s">
        <v>4728</v>
      </c>
      <c r="C31" s="770"/>
      <c r="D31" s="770"/>
      <c r="E31" s="770"/>
      <c r="F31" s="770"/>
      <c r="G31" s="770"/>
      <c r="H31" s="770"/>
      <c r="I31" s="770"/>
      <c r="J31" s="770"/>
      <c r="K31" s="770"/>
      <c r="L31" s="770"/>
      <c r="M31" s="770"/>
      <c r="N31" s="770"/>
      <c r="O31" s="770"/>
      <c r="Q31" s="780" t="s">
        <v>4839</v>
      </c>
    </row>
    <row r="32" spans="1:17" ht="15" x14ac:dyDescent="0.25">
      <c r="A32" s="770"/>
      <c r="B32" s="770" t="s">
        <v>4729</v>
      </c>
      <c r="C32" s="770"/>
      <c r="D32" s="770"/>
      <c r="E32" s="770"/>
      <c r="F32" s="770"/>
      <c r="G32" s="770"/>
      <c r="H32" s="770"/>
      <c r="I32" s="770"/>
      <c r="J32" s="770"/>
      <c r="K32" s="770"/>
      <c r="L32" s="770"/>
      <c r="M32" s="770"/>
      <c r="N32" s="770"/>
      <c r="O32" s="770"/>
      <c r="Q32" s="780" t="s">
        <v>4840</v>
      </c>
    </row>
    <row r="33" spans="1:17" ht="15" x14ac:dyDescent="0.25">
      <c r="A33" s="770"/>
      <c r="B33" s="770" t="s">
        <v>4730</v>
      </c>
      <c r="C33" s="770"/>
      <c r="D33" s="770"/>
      <c r="E33" s="770"/>
      <c r="F33" s="770"/>
      <c r="G33" s="770"/>
      <c r="H33" s="770"/>
      <c r="I33" s="770"/>
      <c r="J33" s="770"/>
      <c r="K33" s="770"/>
      <c r="L33" s="770"/>
      <c r="M33" s="770"/>
      <c r="N33" s="770"/>
      <c r="O33" s="770"/>
      <c r="Q33"/>
    </row>
    <row r="34" spans="1:17" ht="15" x14ac:dyDescent="0.25">
      <c r="A34" s="770"/>
      <c r="B34" s="770"/>
      <c r="C34" s="770"/>
      <c r="D34" s="770"/>
      <c r="E34" s="770"/>
      <c r="F34" s="770"/>
      <c r="G34" s="770"/>
      <c r="H34" s="770"/>
      <c r="I34" s="770"/>
      <c r="J34" s="770"/>
      <c r="K34" s="770"/>
      <c r="L34" s="770"/>
      <c r="M34" s="770"/>
      <c r="N34" s="770"/>
      <c r="O34" s="770"/>
      <c r="Q34" s="780" t="s">
        <v>4841</v>
      </c>
    </row>
    <row r="35" spans="1:17" ht="15" x14ac:dyDescent="0.25">
      <c r="A35" s="770"/>
      <c r="B35" s="770" t="s">
        <v>4731</v>
      </c>
      <c r="C35" s="770"/>
      <c r="D35" s="770"/>
      <c r="E35" s="770"/>
      <c r="F35" s="770"/>
      <c r="G35" s="770"/>
      <c r="H35" s="770"/>
      <c r="I35" s="770"/>
      <c r="J35" s="770"/>
      <c r="K35" s="770"/>
      <c r="L35" s="770"/>
      <c r="M35" s="770"/>
      <c r="N35" s="770"/>
      <c r="O35" s="770"/>
      <c r="Q35" s="780" t="s">
        <v>4842</v>
      </c>
    </row>
    <row r="36" spans="1:17" ht="15" x14ac:dyDescent="0.25">
      <c r="A36" s="770"/>
      <c r="B36" s="770" t="s">
        <v>4732</v>
      </c>
      <c r="C36" s="770"/>
      <c r="D36" s="770"/>
      <c r="E36" s="770"/>
      <c r="F36" s="770"/>
      <c r="G36" s="770"/>
      <c r="H36" s="770"/>
      <c r="I36" s="770"/>
      <c r="J36" s="770"/>
      <c r="K36" s="770"/>
      <c r="L36" s="770"/>
      <c r="M36" s="770"/>
      <c r="N36" s="770"/>
      <c r="O36" s="770"/>
      <c r="Q36" s="780" t="s">
        <v>4719</v>
      </c>
    </row>
    <row r="37" spans="1:17" ht="15" x14ac:dyDescent="0.25">
      <c r="A37" s="770"/>
      <c r="B37" s="770"/>
      <c r="C37" s="770"/>
      <c r="D37" s="770"/>
      <c r="E37" s="770"/>
      <c r="F37" s="770"/>
      <c r="G37" s="770"/>
      <c r="H37" s="770"/>
      <c r="I37" s="770"/>
      <c r="J37" s="770"/>
      <c r="K37" s="770"/>
      <c r="L37" s="770"/>
      <c r="M37" s="770"/>
      <c r="N37" s="770"/>
      <c r="O37" s="770"/>
      <c r="Q37" s="780" t="s">
        <v>4843</v>
      </c>
    </row>
    <row r="38" spans="1:17" ht="15" x14ac:dyDescent="0.25">
      <c r="A38" s="770"/>
      <c r="B38" s="770" t="s">
        <v>4733</v>
      </c>
      <c r="C38" s="770"/>
      <c r="D38" s="770"/>
      <c r="E38" s="770"/>
      <c r="F38" s="770"/>
      <c r="G38" s="770"/>
      <c r="H38" s="770"/>
      <c r="I38" s="770"/>
      <c r="J38" s="770"/>
      <c r="K38" s="770"/>
      <c r="L38" s="770"/>
      <c r="M38" s="770"/>
      <c r="N38" s="770"/>
      <c r="O38" s="770"/>
      <c r="Q38" s="780" t="s">
        <v>4844</v>
      </c>
    </row>
    <row r="39" spans="1:17" ht="15" x14ac:dyDescent="0.25">
      <c r="A39" s="770"/>
      <c r="B39" s="770" t="s">
        <v>4734</v>
      </c>
      <c r="C39" s="770"/>
      <c r="D39" s="770"/>
      <c r="E39" s="770"/>
      <c r="F39" s="770"/>
      <c r="G39" s="770"/>
      <c r="H39" s="770"/>
      <c r="I39" s="770"/>
      <c r="J39" s="770"/>
      <c r="K39" s="770"/>
      <c r="L39" s="770"/>
      <c r="M39" s="770"/>
      <c r="N39" s="770"/>
      <c r="O39" s="770"/>
      <c r="Q39" s="780" t="s">
        <v>4845</v>
      </c>
    </row>
    <row r="40" spans="1:17" ht="15" x14ac:dyDescent="0.25">
      <c r="A40" s="770"/>
      <c r="B40" s="770" t="s">
        <v>4735</v>
      </c>
      <c r="C40" s="770"/>
      <c r="D40" s="770"/>
      <c r="E40" s="770"/>
      <c r="F40" s="770"/>
      <c r="G40" s="770"/>
      <c r="H40" s="770"/>
      <c r="I40" s="770"/>
      <c r="J40" s="770"/>
      <c r="K40" s="770"/>
      <c r="L40" s="770"/>
      <c r="M40" s="770"/>
      <c r="N40" s="770"/>
      <c r="O40" s="770"/>
      <c r="Q40" s="780" t="s">
        <v>4846</v>
      </c>
    </row>
    <row r="41" spans="1:17" ht="15" x14ac:dyDescent="0.25">
      <c r="A41" s="770"/>
      <c r="B41" s="770" t="s">
        <v>4736</v>
      </c>
      <c r="C41" s="770"/>
      <c r="D41" s="770"/>
      <c r="E41" s="770"/>
      <c r="F41" s="770"/>
      <c r="G41" s="770"/>
      <c r="H41" s="770"/>
      <c r="I41" s="770"/>
      <c r="J41" s="770"/>
      <c r="K41" s="770"/>
      <c r="L41" s="770"/>
      <c r="M41" s="770"/>
      <c r="N41" s="770"/>
      <c r="O41" s="770"/>
      <c r="Q41" s="780" t="s">
        <v>4847</v>
      </c>
    </row>
    <row r="42" spans="1:17" ht="15" x14ac:dyDescent="0.25">
      <c r="A42" s="770"/>
      <c r="B42" s="770" t="s">
        <v>4737</v>
      </c>
      <c r="C42" s="770"/>
      <c r="D42" s="770"/>
      <c r="E42" s="770"/>
      <c r="F42" s="770"/>
      <c r="G42" s="770"/>
      <c r="H42" s="770"/>
      <c r="I42" s="770"/>
      <c r="J42" s="770"/>
      <c r="K42" s="770"/>
      <c r="L42" s="770"/>
      <c r="M42" s="770"/>
      <c r="N42" s="770"/>
      <c r="O42" s="770"/>
      <c r="Q42" s="780" t="s">
        <v>4848</v>
      </c>
    </row>
    <row r="43" spans="1:17" ht="15" x14ac:dyDescent="0.25">
      <c r="A43" s="770"/>
      <c r="B43" s="770" t="s">
        <v>4738</v>
      </c>
      <c r="C43" s="770"/>
      <c r="D43" s="770"/>
      <c r="E43" s="770"/>
      <c r="F43" s="770"/>
      <c r="G43" s="770"/>
      <c r="H43" s="770"/>
      <c r="I43" s="770"/>
      <c r="J43" s="770"/>
      <c r="K43" s="770"/>
      <c r="L43" s="770"/>
      <c r="M43" s="770"/>
      <c r="N43" s="770"/>
      <c r="O43" s="770"/>
      <c r="Q43" s="780" t="s">
        <v>4849</v>
      </c>
    </row>
    <row r="44" spans="1:17" ht="15" x14ac:dyDescent="0.25">
      <c r="A44" s="770"/>
      <c r="B44" s="770" t="s">
        <v>4739</v>
      </c>
      <c r="C44" s="770"/>
      <c r="D44" s="770"/>
      <c r="E44" s="770"/>
      <c r="F44" s="770"/>
      <c r="G44" s="770"/>
      <c r="H44" s="770"/>
      <c r="I44" s="770"/>
      <c r="J44" s="770"/>
      <c r="K44" s="770"/>
      <c r="L44" s="770"/>
      <c r="M44" s="770"/>
      <c r="N44" s="770"/>
      <c r="O44" s="770"/>
      <c r="Q44" s="780" t="s">
        <v>4850</v>
      </c>
    </row>
    <row r="45" spans="1:17" ht="15" x14ac:dyDescent="0.25">
      <c r="A45" s="770"/>
      <c r="B45" s="770" t="s">
        <v>4740</v>
      </c>
      <c r="C45" s="770"/>
      <c r="D45" s="770"/>
      <c r="E45" s="770"/>
      <c r="F45" s="770"/>
      <c r="G45" s="770"/>
      <c r="H45" s="770"/>
      <c r="I45" s="770"/>
      <c r="J45" s="770"/>
      <c r="K45" s="770"/>
      <c r="L45" s="770"/>
      <c r="M45" s="770"/>
      <c r="N45" s="770"/>
      <c r="O45" s="770"/>
      <c r="Q45" s="780" t="s">
        <v>4851</v>
      </c>
    </row>
    <row r="46" spans="1:17" ht="15" x14ac:dyDescent="0.25">
      <c r="A46" s="770"/>
      <c r="B46" s="770" t="s">
        <v>4741</v>
      </c>
      <c r="C46" s="770"/>
      <c r="D46" s="770"/>
      <c r="E46" s="770"/>
      <c r="F46" s="770"/>
      <c r="G46" s="770"/>
      <c r="H46" s="770"/>
      <c r="I46" s="770"/>
      <c r="J46" s="770"/>
      <c r="K46" s="770"/>
      <c r="L46" s="770"/>
      <c r="M46" s="770"/>
      <c r="N46" s="770"/>
      <c r="O46" s="770"/>
      <c r="Q46" s="780" t="s">
        <v>4852</v>
      </c>
    </row>
    <row r="47" spans="1:17" ht="15" x14ac:dyDescent="0.25">
      <c r="A47" s="770"/>
      <c r="B47" s="770" t="s">
        <v>4742</v>
      </c>
      <c r="C47" s="770"/>
      <c r="D47" s="770"/>
      <c r="E47" s="770"/>
      <c r="F47" s="770"/>
      <c r="G47" s="770"/>
      <c r="H47" s="770"/>
      <c r="I47" s="770"/>
      <c r="J47" s="770"/>
      <c r="K47" s="770"/>
      <c r="L47" s="770"/>
      <c r="M47" s="770"/>
      <c r="N47" s="770"/>
      <c r="O47" s="770"/>
      <c r="Q47" s="780" t="s">
        <v>4853</v>
      </c>
    </row>
    <row r="48" spans="1:17" ht="15" x14ac:dyDescent="0.25">
      <c r="A48" s="770"/>
      <c r="B48" s="770" t="s">
        <v>4743</v>
      </c>
      <c r="C48" s="770"/>
      <c r="D48" s="770"/>
      <c r="E48" s="770"/>
      <c r="F48" s="770"/>
      <c r="G48" s="770"/>
      <c r="H48" s="770"/>
      <c r="I48" s="770"/>
      <c r="J48" s="770"/>
      <c r="K48" s="770"/>
      <c r="L48" s="770"/>
      <c r="M48" s="770"/>
      <c r="N48" s="770"/>
      <c r="O48" s="770"/>
      <c r="Q48" s="780" t="s">
        <v>4854</v>
      </c>
    </row>
    <row r="49" spans="1:17" ht="15" x14ac:dyDescent="0.25">
      <c r="A49" s="770"/>
      <c r="B49" s="770"/>
      <c r="C49" s="770"/>
      <c r="D49" s="770"/>
      <c r="E49" s="770"/>
      <c r="F49" s="770"/>
      <c r="G49" s="770"/>
      <c r="H49" s="770"/>
      <c r="I49" s="770"/>
      <c r="J49" s="770"/>
      <c r="K49" s="770"/>
      <c r="L49" s="770"/>
      <c r="M49" s="770"/>
      <c r="N49" s="770"/>
      <c r="O49" s="770"/>
      <c r="Q49" s="780" t="s">
        <v>4855</v>
      </c>
    </row>
    <row r="50" spans="1:17" ht="15" x14ac:dyDescent="0.25">
      <c r="A50" s="770"/>
      <c r="B50" s="770" t="s">
        <v>4744</v>
      </c>
      <c r="C50" s="770"/>
      <c r="D50" s="770"/>
      <c r="E50" s="770"/>
      <c r="F50" s="770"/>
      <c r="G50" s="770"/>
      <c r="H50" s="770"/>
      <c r="I50" s="770"/>
      <c r="J50" s="770"/>
      <c r="K50" s="770"/>
      <c r="L50" s="770"/>
      <c r="M50" s="770"/>
      <c r="N50" s="770"/>
      <c r="O50" s="770"/>
      <c r="Q50" s="780" t="s">
        <v>4856</v>
      </c>
    </row>
    <row r="51" spans="1:17" ht="15" x14ac:dyDescent="0.25">
      <c r="A51" s="770"/>
      <c r="B51" s="770" t="s">
        <v>4745</v>
      </c>
      <c r="C51" s="770"/>
      <c r="D51" s="770"/>
      <c r="E51" s="770"/>
      <c r="F51" s="770"/>
      <c r="G51" s="770"/>
      <c r="H51" s="770"/>
      <c r="I51" s="770"/>
      <c r="J51" s="770"/>
      <c r="K51" s="770"/>
      <c r="L51" s="770"/>
      <c r="M51" s="770"/>
      <c r="N51" s="770"/>
      <c r="O51" s="770"/>
      <c r="Q51" s="780" t="s">
        <v>4857</v>
      </c>
    </row>
    <row r="52" spans="1:17" ht="15" x14ac:dyDescent="0.25">
      <c r="A52" s="770"/>
      <c r="B52" s="770" t="s">
        <v>4746</v>
      </c>
      <c r="C52" s="770"/>
      <c r="D52" s="770"/>
      <c r="E52" s="770"/>
      <c r="F52" s="770"/>
      <c r="G52" s="770"/>
      <c r="H52" s="770"/>
      <c r="I52" s="770"/>
      <c r="J52" s="770"/>
      <c r="K52" s="770"/>
      <c r="L52" s="770"/>
      <c r="M52" s="770"/>
      <c r="N52" s="770"/>
      <c r="O52" s="770"/>
      <c r="Q52" s="780" t="s">
        <v>4858</v>
      </c>
    </row>
    <row r="53" spans="1:17" ht="15" x14ac:dyDescent="0.25">
      <c r="A53" s="770"/>
      <c r="B53" s="770" t="s">
        <v>4747</v>
      </c>
      <c r="C53" s="770"/>
      <c r="D53" s="770"/>
      <c r="E53" s="770"/>
      <c r="F53" s="770"/>
      <c r="G53" s="770"/>
      <c r="H53" s="770"/>
      <c r="I53" s="770"/>
      <c r="J53" s="770"/>
      <c r="K53" s="770"/>
      <c r="L53" s="770"/>
      <c r="M53" s="770"/>
      <c r="N53" s="770"/>
      <c r="O53" s="770"/>
      <c r="Q53" s="780" t="s">
        <v>4859</v>
      </c>
    </row>
    <row r="54" spans="1:17" ht="15" x14ac:dyDescent="0.25">
      <c r="A54" s="770"/>
      <c r="B54" s="770" t="s">
        <v>4748</v>
      </c>
      <c r="C54" s="770"/>
      <c r="D54" s="770"/>
      <c r="E54" s="770"/>
      <c r="F54" s="770"/>
      <c r="G54" s="770"/>
      <c r="H54" s="770"/>
      <c r="I54" s="770"/>
      <c r="J54" s="770"/>
      <c r="K54" s="770"/>
      <c r="L54" s="770"/>
      <c r="M54" s="770"/>
      <c r="N54" s="770"/>
      <c r="O54" s="770"/>
      <c r="Q54"/>
    </row>
    <row r="55" spans="1:17" ht="15" x14ac:dyDescent="0.25">
      <c r="A55" s="770"/>
      <c r="B55" s="770" t="s">
        <v>4749</v>
      </c>
      <c r="C55" s="770"/>
      <c r="D55" s="770"/>
      <c r="E55" s="770"/>
      <c r="F55" s="770"/>
      <c r="G55" s="770"/>
      <c r="H55" s="770"/>
      <c r="I55" s="770"/>
      <c r="J55" s="770"/>
      <c r="K55" s="770"/>
      <c r="L55" s="770"/>
      <c r="M55" s="770"/>
      <c r="N55" s="770"/>
      <c r="O55" s="770"/>
      <c r="Q55" s="780" t="s">
        <v>4733</v>
      </c>
    </row>
    <row r="56" spans="1:17" ht="15" x14ac:dyDescent="0.25">
      <c r="A56" s="770"/>
      <c r="B56" s="770" t="s">
        <v>4750</v>
      </c>
      <c r="C56" s="770"/>
      <c r="D56" s="770"/>
      <c r="E56" s="770"/>
      <c r="F56" s="770"/>
      <c r="G56" s="770"/>
      <c r="H56" s="770"/>
      <c r="I56" s="770"/>
      <c r="J56" s="770"/>
      <c r="K56" s="770"/>
      <c r="L56" s="770"/>
      <c r="M56" s="770"/>
      <c r="N56" s="770"/>
      <c r="O56" s="770"/>
      <c r="Q56" s="780" t="s">
        <v>4860</v>
      </c>
    </row>
    <row r="57" spans="1:17" ht="15" x14ac:dyDescent="0.25">
      <c r="A57" s="770"/>
      <c r="B57" s="770"/>
      <c r="C57" s="770"/>
      <c r="D57" s="770"/>
      <c r="E57" s="770"/>
      <c r="F57" s="770"/>
      <c r="G57" s="770"/>
      <c r="H57" s="770"/>
      <c r="I57" s="770"/>
      <c r="J57" s="770"/>
      <c r="K57" s="770"/>
      <c r="L57" s="770"/>
      <c r="M57" s="770"/>
      <c r="N57" s="770"/>
      <c r="O57" s="770"/>
      <c r="Q57" s="780" t="s">
        <v>4861</v>
      </c>
    </row>
    <row r="58" spans="1:17" ht="15" x14ac:dyDescent="0.25">
      <c r="A58" s="770"/>
      <c r="B58" s="770" t="s">
        <v>4751</v>
      </c>
      <c r="C58" s="770"/>
      <c r="D58" s="770"/>
      <c r="E58" s="770"/>
      <c r="F58" s="770"/>
      <c r="G58" s="770"/>
      <c r="H58" s="770"/>
      <c r="I58" s="770"/>
      <c r="J58" s="770"/>
      <c r="K58" s="770"/>
      <c r="L58" s="770"/>
      <c r="M58" s="770"/>
      <c r="N58" s="770"/>
      <c r="O58" s="770"/>
      <c r="Q58" s="780" t="s">
        <v>4862</v>
      </c>
    </row>
    <row r="59" spans="1:17" ht="15" x14ac:dyDescent="0.25">
      <c r="A59" s="770"/>
      <c r="B59" s="770" t="s">
        <v>4752</v>
      </c>
      <c r="C59" s="770"/>
      <c r="D59" s="770"/>
      <c r="E59" s="770"/>
      <c r="F59" s="770"/>
      <c r="G59" s="770"/>
      <c r="H59" s="770"/>
      <c r="I59" s="770"/>
      <c r="J59" s="770"/>
      <c r="K59" s="770"/>
      <c r="L59" s="770"/>
      <c r="M59" s="770"/>
      <c r="N59" s="770"/>
      <c r="O59" s="770"/>
      <c r="Q59" s="780" t="s">
        <v>4863</v>
      </c>
    </row>
    <row r="60" spans="1:17" ht="15" x14ac:dyDescent="0.25">
      <c r="A60" s="770"/>
      <c r="B60" s="770" t="s">
        <v>4753</v>
      </c>
      <c r="C60" s="770"/>
      <c r="D60" s="770"/>
      <c r="E60" s="770"/>
      <c r="F60" s="770"/>
      <c r="G60" s="770"/>
      <c r="H60" s="770"/>
      <c r="I60" s="770"/>
      <c r="J60" s="770"/>
      <c r="K60" s="770"/>
      <c r="L60" s="770"/>
      <c r="M60" s="770"/>
      <c r="N60" s="770"/>
      <c r="O60" s="770"/>
      <c r="Q60" s="780" t="s">
        <v>4864</v>
      </c>
    </row>
    <row r="61" spans="1:17" ht="15" x14ac:dyDescent="0.25">
      <c r="A61" s="770"/>
      <c r="B61" s="770" t="s">
        <v>4754</v>
      </c>
      <c r="C61" s="770"/>
      <c r="D61" s="770"/>
      <c r="E61" s="770"/>
      <c r="F61" s="770"/>
      <c r="G61" s="770"/>
      <c r="H61" s="770"/>
      <c r="I61" s="770"/>
      <c r="J61" s="770"/>
      <c r="K61" s="770"/>
      <c r="L61" s="770"/>
      <c r="M61" s="770"/>
      <c r="N61" s="770"/>
      <c r="O61" s="770"/>
      <c r="Q61" s="780" t="s">
        <v>4865</v>
      </c>
    </row>
    <row r="62" spans="1:17" ht="15" x14ac:dyDescent="0.25">
      <c r="A62" s="770"/>
      <c r="B62" s="770" t="s">
        <v>4755</v>
      </c>
      <c r="C62" s="770"/>
      <c r="D62" s="770"/>
      <c r="E62" s="770"/>
      <c r="F62" s="770"/>
      <c r="G62" s="770"/>
      <c r="H62" s="770"/>
      <c r="I62" s="770"/>
      <c r="J62" s="770"/>
      <c r="K62" s="770"/>
      <c r="L62" s="770"/>
      <c r="M62" s="770"/>
      <c r="N62" s="770"/>
      <c r="O62" s="770"/>
      <c r="Q62" s="780" t="s">
        <v>4866</v>
      </c>
    </row>
    <row r="63" spans="1:17" ht="15" x14ac:dyDescent="0.25">
      <c r="A63" s="770"/>
      <c r="B63" s="770"/>
      <c r="C63" s="770"/>
      <c r="D63" s="770"/>
      <c r="E63" s="770"/>
      <c r="F63" s="770"/>
      <c r="G63" s="770"/>
      <c r="H63" s="770"/>
      <c r="I63" s="770"/>
      <c r="J63" s="770"/>
      <c r="K63" s="770"/>
      <c r="L63" s="770"/>
      <c r="M63" s="770"/>
      <c r="N63" s="770"/>
      <c r="O63" s="770"/>
      <c r="Q63" s="780" t="s">
        <v>4867</v>
      </c>
    </row>
    <row r="64" spans="1:17" ht="15" x14ac:dyDescent="0.25">
      <c r="A64" s="770"/>
      <c r="B64" s="770" t="s">
        <v>4756</v>
      </c>
      <c r="C64" s="770"/>
      <c r="D64" s="770"/>
      <c r="E64" s="770"/>
      <c r="F64" s="770"/>
      <c r="G64" s="770"/>
      <c r="H64" s="770"/>
      <c r="I64" s="770"/>
      <c r="J64" s="770"/>
      <c r="K64" s="770"/>
      <c r="L64" s="770"/>
      <c r="M64" s="770"/>
      <c r="N64" s="770"/>
      <c r="O64" s="770"/>
      <c r="Q64" s="780" t="s">
        <v>4868</v>
      </c>
    </row>
    <row r="65" spans="1:17" ht="15" x14ac:dyDescent="0.25">
      <c r="A65" s="770"/>
      <c r="B65" s="770" t="s">
        <v>4757</v>
      </c>
      <c r="C65" s="770"/>
      <c r="D65" s="770"/>
      <c r="E65" s="770"/>
      <c r="F65" s="770"/>
      <c r="G65" s="770"/>
      <c r="H65" s="770"/>
      <c r="I65" s="770"/>
      <c r="J65" s="770"/>
      <c r="K65" s="770"/>
      <c r="L65" s="770"/>
      <c r="M65" s="770"/>
      <c r="N65" s="770"/>
      <c r="O65" s="770"/>
      <c r="Q65" s="780" t="s">
        <v>4869</v>
      </c>
    </row>
    <row r="66" spans="1:17" ht="15" x14ac:dyDescent="0.25">
      <c r="A66" s="770"/>
      <c r="B66" s="770" t="s">
        <v>4758</v>
      </c>
      <c r="C66" s="770"/>
      <c r="D66" s="770"/>
      <c r="E66" s="770"/>
      <c r="F66" s="770"/>
      <c r="G66" s="770"/>
      <c r="H66" s="770"/>
      <c r="I66" s="770"/>
      <c r="J66" s="770"/>
      <c r="K66" s="770"/>
      <c r="L66" s="770"/>
      <c r="M66" s="770"/>
      <c r="N66" s="770"/>
      <c r="O66" s="770"/>
      <c r="Q66" s="780" t="s">
        <v>4870</v>
      </c>
    </row>
    <row r="67" spans="1:17" ht="15" x14ac:dyDescent="0.25">
      <c r="A67" s="770"/>
      <c r="B67" s="770" t="s">
        <v>4759</v>
      </c>
      <c r="C67" s="770"/>
      <c r="D67" s="770"/>
      <c r="E67" s="770"/>
      <c r="F67" s="770"/>
      <c r="G67" s="770"/>
      <c r="H67" s="770"/>
      <c r="I67" s="770"/>
      <c r="J67" s="770"/>
      <c r="K67" s="770"/>
      <c r="L67" s="770"/>
      <c r="M67" s="770"/>
      <c r="N67" s="770"/>
      <c r="O67" s="770"/>
      <c r="Q67"/>
    </row>
    <row r="68" spans="1:17" ht="15" x14ac:dyDescent="0.25">
      <c r="A68" s="770"/>
      <c r="B68" s="770" t="s">
        <v>4760</v>
      </c>
      <c r="C68" s="770"/>
      <c r="D68" s="770"/>
      <c r="E68" s="770"/>
      <c r="F68" s="770"/>
      <c r="G68" s="770"/>
      <c r="H68" s="770"/>
      <c r="I68" s="770"/>
      <c r="J68" s="770"/>
      <c r="K68" s="770"/>
      <c r="L68" s="770"/>
      <c r="M68" s="770"/>
      <c r="N68" s="770"/>
      <c r="O68" s="770"/>
      <c r="Q68" s="780" t="s">
        <v>4871</v>
      </c>
    </row>
    <row r="69" spans="1:17" ht="15" x14ac:dyDescent="0.25">
      <c r="A69" s="770"/>
      <c r="B69" s="770" t="s">
        <v>4761</v>
      </c>
      <c r="C69" s="770"/>
      <c r="D69" s="770"/>
      <c r="E69" s="770"/>
      <c r="F69" s="770"/>
      <c r="G69" s="770"/>
      <c r="H69" s="770"/>
      <c r="I69" s="770"/>
      <c r="J69" s="770"/>
      <c r="K69" s="770"/>
      <c r="L69" s="770"/>
      <c r="M69" s="770"/>
      <c r="N69" s="770"/>
      <c r="O69" s="770"/>
      <c r="Q69"/>
    </row>
    <row r="70" spans="1:17" ht="15" x14ac:dyDescent="0.25">
      <c r="A70" s="770"/>
      <c r="B70" s="770"/>
      <c r="C70" s="770"/>
      <c r="D70" s="770"/>
      <c r="E70" s="770"/>
      <c r="F70" s="770"/>
      <c r="G70" s="770"/>
      <c r="H70" s="770"/>
      <c r="I70" s="770"/>
      <c r="J70" s="770"/>
      <c r="K70" s="770"/>
      <c r="L70" s="770"/>
      <c r="M70" s="770"/>
      <c r="N70" s="770"/>
      <c r="O70" s="770"/>
      <c r="Q70" s="780" t="s">
        <v>4872</v>
      </c>
    </row>
    <row r="71" spans="1:17" ht="15" x14ac:dyDescent="0.25">
      <c r="A71" s="770"/>
      <c r="B71" s="770" t="s">
        <v>4762</v>
      </c>
      <c r="C71" s="770"/>
      <c r="D71" s="770"/>
      <c r="E71" s="770"/>
      <c r="F71" s="770"/>
      <c r="G71" s="770"/>
      <c r="H71" s="770"/>
      <c r="I71" s="770"/>
      <c r="J71" s="770"/>
      <c r="K71" s="770"/>
      <c r="L71" s="770"/>
      <c r="M71" s="770"/>
      <c r="N71" s="770"/>
      <c r="O71" s="770"/>
      <c r="Q71" s="780" t="s">
        <v>4873</v>
      </c>
    </row>
    <row r="72" spans="1:17" ht="15" x14ac:dyDescent="0.25">
      <c r="A72" s="770"/>
      <c r="B72" s="770" t="s">
        <v>4763</v>
      </c>
      <c r="C72" s="770"/>
      <c r="D72" s="770"/>
      <c r="E72" s="770"/>
      <c r="F72" s="770"/>
      <c r="G72" s="770"/>
      <c r="H72" s="770"/>
      <c r="I72" s="770"/>
      <c r="J72" s="770"/>
      <c r="K72" s="770"/>
      <c r="L72" s="770"/>
      <c r="M72" s="770"/>
      <c r="N72" s="770"/>
      <c r="O72" s="770"/>
      <c r="Q72" s="780" t="s">
        <v>4874</v>
      </c>
    </row>
    <row r="73" spans="1:17" ht="15" x14ac:dyDescent="0.25">
      <c r="A73" s="770"/>
      <c r="B73" s="770" t="s">
        <v>4764</v>
      </c>
      <c r="C73" s="770"/>
      <c r="D73" s="770"/>
      <c r="E73" s="770"/>
      <c r="F73" s="770"/>
      <c r="G73" s="770"/>
      <c r="H73" s="770"/>
      <c r="I73" s="770"/>
      <c r="J73" s="770"/>
      <c r="K73" s="770"/>
      <c r="L73" s="770"/>
      <c r="M73" s="770"/>
      <c r="N73" s="770"/>
      <c r="O73" s="770"/>
      <c r="Q73" s="780" t="s">
        <v>4875</v>
      </c>
    </row>
    <row r="74" spans="1:17" ht="15" x14ac:dyDescent="0.25">
      <c r="A74" s="770"/>
      <c r="B74" s="770" t="s">
        <v>4765</v>
      </c>
      <c r="C74" s="770"/>
      <c r="D74" s="770"/>
      <c r="E74" s="770"/>
      <c r="F74" s="770"/>
      <c r="G74" s="770"/>
      <c r="H74" s="770"/>
      <c r="I74" s="770"/>
      <c r="J74" s="770"/>
      <c r="K74" s="770"/>
      <c r="L74" s="770"/>
      <c r="M74" s="770"/>
      <c r="N74" s="770"/>
      <c r="O74" s="770"/>
      <c r="Q74" s="780" t="s">
        <v>4876</v>
      </c>
    </row>
    <row r="75" spans="1:17" ht="15" x14ac:dyDescent="0.25">
      <c r="A75" s="770"/>
      <c r="B75" s="770"/>
      <c r="C75" s="770"/>
      <c r="D75" s="770"/>
      <c r="E75" s="770"/>
      <c r="F75" s="770"/>
      <c r="G75" s="770"/>
      <c r="H75" s="770"/>
      <c r="I75" s="770"/>
      <c r="J75" s="770"/>
      <c r="K75" s="770"/>
      <c r="L75" s="770"/>
      <c r="M75" s="770"/>
      <c r="N75" s="770"/>
      <c r="O75" s="770"/>
      <c r="Q75" s="780" t="s">
        <v>4877</v>
      </c>
    </row>
    <row r="76" spans="1:17" ht="15" x14ac:dyDescent="0.25">
      <c r="A76" s="770"/>
      <c r="B76" s="770" t="s">
        <v>4766</v>
      </c>
      <c r="C76" s="770"/>
      <c r="D76" s="770"/>
      <c r="E76" s="770"/>
      <c r="F76" s="770"/>
      <c r="G76" s="770"/>
      <c r="H76" s="770"/>
      <c r="I76" s="770"/>
      <c r="J76" s="770"/>
      <c r="K76" s="770"/>
      <c r="L76" s="770"/>
      <c r="M76" s="770"/>
      <c r="N76" s="770"/>
      <c r="O76" s="770"/>
      <c r="Q76" s="780" t="s">
        <v>4878</v>
      </c>
    </row>
    <row r="77" spans="1:17" ht="15" x14ac:dyDescent="0.25">
      <c r="A77" s="770"/>
      <c r="B77" s="770" t="s">
        <v>4767</v>
      </c>
      <c r="C77" s="770"/>
      <c r="D77" s="770"/>
      <c r="E77" s="770"/>
      <c r="F77" s="770"/>
      <c r="G77" s="770"/>
      <c r="H77" s="770"/>
      <c r="I77" s="770"/>
      <c r="J77" s="770"/>
      <c r="K77" s="770"/>
      <c r="L77" s="770"/>
      <c r="M77" s="770"/>
      <c r="N77" s="770"/>
      <c r="O77" s="770"/>
      <c r="Q77" s="780" t="s">
        <v>4879</v>
      </c>
    </row>
    <row r="78" spans="1:17" ht="15" x14ac:dyDescent="0.25">
      <c r="A78" s="770"/>
      <c r="B78" s="770" t="s">
        <v>4768</v>
      </c>
      <c r="C78" s="770"/>
      <c r="D78" s="770"/>
      <c r="E78" s="770"/>
      <c r="F78" s="770"/>
      <c r="G78" s="770"/>
      <c r="H78" s="770"/>
      <c r="I78" s="770"/>
      <c r="J78" s="770"/>
      <c r="K78" s="770"/>
      <c r="L78" s="770"/>
      <c r="M78" s="770"/>
      <c r="N78" s="770"/>
      <c r="O78" s="770"/>
      <c r="Q78" s="780" t="s">
        <v>4880</v>
      </c>
    </row>
    <row r="79" spans="1:17" ht="15" x14ac:dyDescent="0.25">
      <c r="A79" s="770"/>
      <c r="B79" s="770" t="s">
        <v>4769</v>
      </c>
      <c r="C79" s="770"/>
      <c r="D79" s="770"/>
      <c r="E79" s="770"/>
      <c r="F79" s="770"/>
      <c r="G79" s="770"/>
      <c r="H79" s="770"/>
      <c r="I79" s="770"/>
      <c r="J79" s="770"/>
      <c r="K79" s="770"/>
      <c r="L79" s="770"/>
      <c r="M79" s="770"/>
      <c r="N79" s="770"/>
      <c r="O79" s="770"/>
      <c r="Q79" s="780" t="s">
        <v>4881</v>
      </c>
    </row>
    <row r="80" spans="1:17" ht="15" x14ac:dyDescent="0.25">
      <c r="A80" s="770"/>
      <c r="B80" s="770" t="s">
        <v>4770</v>
      </c>
      <c r="C80" s="770"/>
      <c r="D80" s="770"/>
      <c r="E80" s="770"/>
      <c r="F80" s="770"/>
      <c r="G80" s="770"/>
      <c r="H80" s="770"/>
      <c r="I80" s="770"/>
      <c r="J80" s="770"/>
      <c r="K80" s="770"/>
      <c r="L80" s="770"/>
      <c r="M80" s="770"/>
      <c r="N80" s="770"/>
      <c r="O80" s="770"/>
      <c r="Q80" s="780" t="s">
        <v>4882</v>
      </c>
    </row>
    <row r="81" spans="1:17" ht="15" x14ac:dyDescent="0.25">
      <c r="A81" s="770"/>
      <c r="B81" s="770" t="s">
        <v>4771</v>
      </c>
      <c r="C81" s="770"/>
      <c r="D81" s="770"/>
      <c r="E81" s="770"/>
      <c r="F81" s="770"/>
      <c r="G81" s="770"/>
      <c r="H81" s="770"/>
      <c r="I81" s="770"/>
      <c r="J81" s="770"/>
      <c r="K81" s="770"/>
      <c r="L81" s="770"/>
      <c r="M81" s="770"/>
      <c r="N81" s="770"/>
      <c r="O81" s="770"/>
      <c r="Q81"/>
    </row>
    <row r="82" spans="1:17" ht="15" x14ac:dyDescent="0.25">
      <c r="A82" s="770"/>
      <c r="B82" s="770" t="s">
        <v>4772</v>
      </c>
      <c r="C82" s="770"/>
      <c r="D82" s="770"/>
      <c r="E82" s="770"/>
      <c r="F82" s="770"/>
      <c r="G82" s="770"/>
      <c r="H82" s="770"/>
      <c r="I82" s="770"/>
      <c r="J82" s="770"/>
      <c r="K82" s="770"/>
      <c r="L82" s="770"/>
      <c r="M82" s="770"/>
      <c r="N82" s="770"/>
      <c r="O82" s="770"/>
      <c r="Q82" s="780" t="s">
        <v>4883</v>
      </c>
    </row>
    <row r="83" spans="1:17" ht="15" x14ac:dyDescent="0.25">
      <c r="A83" s="770"/>
      <c r="B83" s="770" t="s">
        <v>4773</v>
      </c>
      <c r="C83" s="770"/>
      <c r="D83" s="770"/>
      <c r="E83" s="770"/>
      <c r="F83" s="770"/>
      <c r="G83" s="770"/>
      <c r="H83" s="770"/>
      <c r="I83" s="770"/>
      <c r="J83" s="770"/>
      <c r="K83" s="770"/>
      <c r="L83" s="770"/>
      <c r="M83" s="770"/>
      <c r="N83" s="770"/>
      <c r="O83" s="770"/>
      <c r="Q83" s="780" t="s">
        <v>4884</v>
      </c>
    </row>
    <row r="84" spans="1:17" ht="15" x14ac:dyDescent="0.25">
      <c r="A84" s="770"/>
      <c r="B84" s="770" t="s">
        <v>4774</v>
      </c>
      <c r="C84" s="770"/>
      <c r="D84" s="770"/>
      <c r="E84" s="770"/>
      <c r="F84" s="770"/>
      <c r="G84" s="770"/>
      <c r="H84" s="770"/>
      <c r="I84" s="770"/>
      <c r="J84" s="770"/>
      <c r="K84" s="770"/>
      <c r="L84" s="770"/>
      <c r="M84" s="770"/>
      <c r="N84" s="770"/>
      <c r="O84" s="770"/>
      <c r="Q84" s="780" t="s">
        <v>4885</v>
      </c>
    </row>
    <row r="85" spans="1:17" ht="15" x14ac:dyDescent="0.25">
      <c r="A85" s="770"/>
      <c r="B85" s="770" t="s">
        <v>4775</v>
      </c>
      <c r="C85" s="770"/>
      <c r="D85" s="770"/>
      <c r="E85" s="770"/>
      <c r="F85" s="770"/>
      <c r="G85" s="770"/>
      <c r="H85" s="770"/>
      <c r="I85" s="770"/>
      <c r="J85" s="770"/>
      <c r="K85" s="770"/>
      <c r="L85" s="770"/>
      <c r="M85" s="770"/>
      <c r="N85" s="770"/>
      <c r="O85" s="770"/>
      <c r="Q85" s="780" t="s">
        <v>4886</v>
      </c>
    </row>
    <row r="86" spans="1:17" ht="15" x14ac:dyDescent="0.25">
      <c r="A86" s="770"/>
      <c r="B86" s="770" t="s">
        <v>4776</v>
      </c>
      <c r="C86" s="770"/>
      <c r="D86" s="770"/>
      <c r="E86" s="770"/>
      <c r="F86" s="770"/>
      <c r="G86" s="770"/>
      <c r="H86" s="770"/>
      <c r="I86" s="770"/>
      <c r="J86" s="770"/>
      <c r="K86" s="770"/>
      <c r="L86" s="770"/>
      <c r="M86" s="770"/>
      <c r="N86" s="770"/>
      <c r="O86" s="770"/>
      <c r="Q86" s="780" t="s">
        <v>4887</v>
      </c>
    </row>
    <row r="87" spans="1:17" ht="15" x14ac:dyDescent="0.25">
      <c r="A87" s="770"/>
      <c r="B87" s="770" t="s">
        <v>4777</v>
      </c>
      <c r="C87" s="770"/>
      <c r="D87" s="770"/>
      <c r="E87" s="770"/>
      <c r="F87" s="770"/>
      <c r="G87" s="770"/>
      <c r="H87" s="770"/>
      <c r="I87" s="770"/>
      <c r="J87" s="770"/>
      <c r="K87" s="770"/>
      <c r="L87" s="770"/>
      <c r="M87" s="770"/>
      <c r="N87" s="770"/>
      <c r="O87" s="770"/>
      <c r="Q87"/>
    </row>
    <row r="88" spans="1:17" ht="15" x14ac:dyDescent="0.25">
      <c r="A88" s="770"/>
      <c r="B88" s="770" t="s">
        <v>4778</v>
      </c>
      <c r="C88" s="770"/>
      <c r="D88" s="770"/>
      <c r="E88" s="770"/>
      <c r="F88" s="770"/>
      <c r="G88" s="770"/>
      <c r="H88" s="770"/>
      <c r="I88" s="770"/>
      <c r="J88" s="770"/>
      <c r="K88" s="770"/>
      <c r="L88" s="770"/>
      <c r="M88" s="770"/>
      <c r="N88" s="770"/>
      <c r="O88" s="770"/>
      <c r="Q88" s="780" t="s">
        <v>4766</v>
      </c>
    </row>
    <row r="89" spans="1:17" ht="15" x14ac:dyDescent="0.25">
      <c r="A89" s="770"/>
      <c r="B89" s="770" t="s">
        <v>4779</v>
      </c>
      <c r="C89" s="770"/>
      <c r="D89" s="770"/>
      <c r="E89" s="770"/>
      <c r="F89" s="770"/>
      <c r="G89" s="770"/>
      <c r="H89" s="770"/>
      <c r="I89" s="770"/>
      <c r="J89" s="770"/>
      <c r="K89" s="770"/>
      <c r="L89" s="770"/>
      <c r="M89" s="770"/>
      <c r="N89" s="770"/>
      <c r="O89" s="770"/>
      <c r="Q89" s="780" t="s">
        <v>4888</v>
      </c>
    </row>
    <row r="90" spans="1:17" ht="15" x14ac:dyDescent="0.25">
      <c r="A90" s="770"/>
      <c r="B90" s="770" t="s">
        <v>4780</v>
      </c>
      <c r="C90" s="770"/>
      <c r="D90" s="770"/>
      <c r="E90" s="770"/>
      <c r="F90" s="770"/>
      <c r="G90" s="770"/>
      <c r="H90" s="770"/>
      <c r="I90" s="770"/>
      <c r="J90" s="770"/>
      <c r="K90" s="770"/>
      <c r="L90" s="770"/>
      <c r="M90" s="770"/>
      <c r="N90" s="770"/>
      <c r="O90" s="770"/>
      <c r="Q90" s="780" t="s">
        <v>4889</v>
      </c>
    </row>
    <row r="91" spans="1:17" ht="15" x14ac:dyDescent="0.25">
      <c r="A91" s="770"/>
      <c r="B91" s="770" t="s">
        <v>4781</v>
      </c>
      <c r="C91" s="770"/>
      <c r="D91" s="770"/>
      <c r="E91" s="770"/>
      <c r="F91" s="770"/>
      <c r="G91" s="770"/>
      <c r="H91" s="770"/>
      <c r="I91" s="770"/>
      <c r="J91" s="770"/>
      <c r="K91" s="770"/>
      <c r="L91" s="770"/>
      <c r="M91" s="770"/>
      <c r="N91" s="770"/>
      <c r="O91" s="770"/>
      <c r="Q91" s="780" t="s">
        <v>4890</v>
      </c>
    </row>
    <row r="92" spans="1:17" ht="15" x14ac:dyDescent="0.25">
      <c r="A92" s="770"/>
      <c r="B92" s="770" t="s">
        <v>4782</v>
      </c>
      <c r="C92" s="770"/>
      <c r="D92" s="770"/>
      <c r="E92" s="770"/>
      <c r="F92" s="770"/>
      <c r="G92" s="770"/>
      <c r="H92" s="770"/>
      <c r="I92" s="770"/>
      <c r="J92" s="770"/>
      <c r="K92" s="770"/>
      <c r="L92" s="770"/>
      <c r="M92" s="770"/>
      <c r="N92" s="770"/>
      <c r="O92" s="770"/>
      <c r="Q92" s="780" t="s">
        <v>4891</v>
      </c>
    </row>
    <row r="93" spans="1:17" ht="15" x14ac:dyDescent="0.25">
      <c r="A93" s="770"/>
      <c r="B93" s="770" t="s">
        <v>4783</v>
      </c>
      <c r="C93" s="770"/>
      <c r="D93" s="770"/>
      <c r="E93" s="770"/>
      <c r="F93" s="770"/>
      <c r="G93" s="770"/>
      <c r="H93" s="770"/>
      <c r="I93" s="770"/>
      <c r="J93" s="770"/>
      <c r="K93" s="770"/>
      <c r="L93" s="770"/>
      <c r="M93" s="770"/>
      <c r="N93" s="770"/>
      <c r="O93" s="770"/>
      <c r="Q93" s="780" t="s">
        <v>4892</v>
      </c>
    </row>
    <row r="94" spans="1:17" ht="15" x14ac:dyDescent="0.25">
      <c r="A94" s="770"/>
      <c r="B94" s="770" t="s">
        <v>4784</v>
      </c>
      <c r="C94" s="770"/>
      <c r="D94" s="770"/>
      <c r="E94" s="770"/>
      <c r="F94" s="770"/>
      <c r="G94" s="770"/>
      <c r="H94" s="770"/>
      <c r="I94" s="770"/>
      <c r="J94" s="770"/>
      <c r="K94" s="770"/>
      <c r="L94" s="770"/>
      <c r="M94" s="770"/>
      <c r="N94" s="770"/>
      <c r="O94" s="770"/>
      <c r="Q94" s="780" t="s">
        <v>4893</v>
      </c>
    </row>
    <row r="95" spans="1:17" ht="15" x14ac:dyDescent="0.25">
      <c r="A95" s="770"/>
      <c r="B95" s="770"/>
      <c r="C95" s="770"/>
      <c r="D95" s="770"/>
      <c r="E95" s="770"/>
      <c r="F95" s="770"/>
      <c r="G95" s="770"/>
      <c r="H95" s="770"/>
      <c r="I95" s="770"/>
      <c r="J95" s="770"/>
      <c r="K95" s="770"/>
      <c r="L95" s="770"/>
      <c r="M95" s="770"/>
      <c r="N95" s="770"/>
      <c r="O95" s="770"/>
      <c r="Q95" s="780" t="s">
        <v>4894</v>
      </c>
    </row>
    <row r="96" spans="1:17" ht="15" x14ac:dyDescent="0.25">
      <c r="A96" s="770"/>
      <c r="B96" s="770" t="s">
        <v>4785</v>
      </c>
      <c r="C96" s="770"/>
      <c r="D96" s="770"/>
      <c r="E96" s="770"/>
      <c r="F96" s="770"/>
      <c r="G96" s="770"/>
      <c r="H96" s="770"/>
      <c r="I96" s="770"/>
      <c r="J96" s="770"/>
      <c r="K96" s="770"/>
      <c r="L96" s="770"/>
      <c r="M96" s="770"/>
      <c r="N96" s="770"/>
      <c r="O96" s="770"/>
      <c r="Q96" s="780" t="s">
        <v>4895</v>
      </c>
    </row>
    <row r="97" spans="1:17" ht="15" x14ac:dyDescent="0.25">
      <c r="A97" s="770"/>
      <c r="B97" s="770" t="s">
        <v>4786</v>
      </c>
      <c r="C97" s="770"/>
      <c r="D97" s="770"/>
      <c r="E97" s="770"/>
      <c r="F97" s="770"/>
      <c r="G97" s="770"/>
      <c r="H97" s="770"/>
      <c r="I97" s="770"/>
      <c r="J97" s="770"/>
      <c r="K97" s="770"/>
      <c r="L97" s="770"/>
      <c r="M97" s="770"/>
      <c r="N97" s="770"/>
      <c r="O97" s="770"/>
      <c r="Q97" s="780" t="s">
        <v>4896</v>
      </c>
    </row>
    <row r="98" spans="1:17" ht="15" x14ac:dyDescent="0.25">
      <c r="A98" s="770"/>
      <c r="B98" s="770" t="s">
        <v>4787</v>
      </c>
      <c r="C98" s="770"/>
      <c r="D98" s="770"/>
      <c r="E98" s="770"/>
      <c r="F98" s="770"/>
      <c r="G98" s="770"/>
      <c r="H98" s="770"/>
      <c r="I98" s="770"/>
      <c r="J98" s="770"/>
      <c r="K98" s="770"/>
      <c r="L98" s="770"/>
      <c r="M98" s="770"/>
      <c r="N98" s="770"/>
      <c r="O98" s="770"/>
      <c r="Q98" s="780" t="s">
        <v>4897</v>
      </c>
    </row>
    <row r="99" spans="1:17" ht="15" x14ac:dyDescent="0.25">
      <c r="A99" s="770"/>
      <c r="B99" s="770" t="s">
        <v>4788</v>
      </c>
      <c r="C99" s="770"/>
      <c r="D99" s="770"/>
      <c r="E99" s="770"/>
      <c r="F99" s="770"/>
      <c r="G99" s="770"/>
      <c r="H99" s="770"/>
      <c r="I99" s="770"/>
      <c r="J99" s="770"/>
      <c r="K99" s="770"/>
      <c r="L99" s="770"/>
      <c r="M99" s="770"/>
      <c r="N99" s="770"/>
      <c r="O99" s="770"/>
      <c r="Q99" s="780" t="s">
        <v>4898</v>
      </c>
    </row>
    <row r="100" spans="1:17" ht="15" x14ac:dyDescent="0.25">
      <c r="A100" s="770"/>
      <c r="B100" s="770" t="s">
        <v>4789</v>
      </c>
      <c r="C100" s="770"/>
      <c r="D100" s="770"/>
      <c r="E100" s="770"/>
      <c r="F100" s="770"/>
      <c r="G100" s="770"/>
      <c r="H100" s="770"/>
      <c r="I100" s="770"/>
      <c r="J100" s="770"/>
      <c r="K100" s="770"/>
      <c r="L100" s="770"/>
      <c r="M100" s="770"/>
      <c r="N100" s="770"/>
      <c r="O100" s="770"/>
      <c r="Q100" s="780" t="s">
        <v>4899</v>
      </c>
    </row>
    <row r="101" spans="1:17" ht="15" x14ac:dyDescent="0.25">
      <c r="A101" s="770"/>
      <c r="B101" s="770" t="s">
        <v>4790</v>
      </c>
      <c r="C101" s="770"/>
      <c r="D101" s="770"/>
      <c r="E101" s="770"/>
      <c r="F101" s="770"/>
      <c r="G101" s="770"/>
      <c r="H101" s="770"/>
      <c r="I101" s="770"/>
      <c r="J101" s="770"/>
      <c r="K101" s="770"/>
      <c r="L101" s="770"/>
      <c r="M101" s="770"/>
      <c r="N101" s="770"/>
      <c r="O101" s="770"/>
      <c r="Q101" s="780" t="s">
        <v>4900</v>
      </c>
    </row>
    <row r="102" spans="1:17" ht="15" x14ac:dyDescent="0.25">
      <c r="A102" s="770"/>
      <c r="B102" s="770"/>
      <c r="C102" s="770"/>
      <c r="D102" s="770"/>
      <c r="E102" s="770"/>
      <c r="F102" s="770"/>
      <c r="G102" s="770"/>
      <c r="H102" s="770"/>
      <c r="I102" s="770"/>
      <c r="J102" s="770"/>
      <c r="K102" s="770"/>
      <c r="L102" s="770"/>
      <c r="M102" s="770"/>
      <c r="N102" s="770"/>
      <c r="O102" s="770"/>
      <c r="Q102" s="780" t="s">
        <v>4901</v>
      </c>
    </row>
    <row r="103" spans="1:17" ht="15" x14ac:dyDescent="0.25">
      <c r="A103" s="770"/>
      <c r="B103" s="770" t="s">
        <v>4791</v>
      </c>
      <c r="C103" s="770"/>
      <c r="D103" s="770"/>
      <c r="E103" s="770"/>
      <c r="F103" s="770"/>
      <c r="G103" s="770"/>
      <c r="H103" s="770"/>
      <c r="I103" s="770"/>
      <c r="J103" s="770"/>
      <c r="K103" s="770"/>
      <c r="L103" s="770"/>
      <c r="M103" s="770"/>
      <c r="N103" s="770"/>
      <c r="O103" s="770"/>
      <c r="Q103" s="780" t="s">
        <v>4902</v>
      </c>
    </row>
    <row r="104" spans="1:17" ht="15" x14ac:dyDescent="0.25">
      <c r="A104" s="770"/>
      <c r="B104" s="770" t="s">
        <v>4792</v>
      </c>
      <c r="C104" s="770"/>
      <c r="D104" s="770"/>
      <c r="E104" s="770"/>
      <c r="F104" s="770"/>
      <c r="G104" s="770"/>
      <c r="H104" s="770"/>
      <c r="I104" s="770"/>
      <c r="J104" s="770"/>
      <c r="K104" s="770"/>
      <c r="L104" s="770"/>
      <c r="M104" s="770"/>
      <c r="N104" s="770"/>
      <c r="O104" s="770"/>
      <c r="Q104" s="780" t="s">
        <v>4903</v>
      </c>
    </row>
    <row r="105" spans="1:17" ht="15" x14ac:dyDescent="0.25">
      <c r="A105" s="770"/>
      <c r="B105" s="770" t="s">
        <v>4793</v>
      </c>
      <c r="C105" s="770"/>
      <c r="D105" s="770"/>
      <c r="E105" s="770"/>
      <c r="F105" s="770"/>
      <c r="G105" s="770"/>
      <c r="H105" s="770"/>
      <c r="I105" s="770"/>
      <c r="J105" s="770"/>
      <c r="K105" s="770"/>
      <c r="L105" s="770"/>
      <c r="M105" s="770"/>
      <c r="N105" s="770"/>
      <c r="O105" s="770"/>
      <c r="Q105" s="780" t="s">
        <v>4904</v>
      </c>
    </row>
    <row r="106" spans="1:17" ht="15" x14ac:dyDescent="0.25">
      <c r="A106" s="770"/>
      <c r="B106" s="770" t="s">
        <v>4794</v>
      </c>
      <c r="C106" s="770"/>
      <c r="D106" s="770"/>
      <c r="E106" s="770"/>
      <c r="F106" s="770"/>
      <c r="G106" s="770"/>
      <c r="H106" s="770"/>
      <c r="I106" s="770"/>
      <c r="J106" s="770"/>
      <c r="K106" s="770"/>
      <c r="L106" s="770"/>
      <c r="M106" s="770"/>
      <c r="N106" s="770"/>
      <c r="O106" s="770"/>
      <c r="Q106" s="780" t="s">
        <v>4905</v>
      </c>
    </row>
    <row r="107" spans="1:17" ht="15" x14ac:dyDescent="0.25">
      <c r="A107" s="770"/>
      <c r="B107" s="770" t="s">
        <v>4795</v>
      </c>
      <c r="C107" s="770"/>
      <c r="D107" s="770"/>
      <c r="E107" s="770"/>
      <c r="F107" s="770"/>
      <c r="G107" s="770"/>
      <c r="H107" s="770"/>
      <c r="I107" s="770"/>
      <c r="J107" s="770"/>
      <c r="K107" s="770"/>
      <c r="L107" s="770"/>
      <c r="M107" s="770"/>
      <c r="N107" s="770"/>
      <c r="O107" s="770"/>
      <c r="Q107" s="780" t="s">
        <v>4906</v>
      </c>
    </row>
    <row r="108" spans="1:17" ht="15" x14ac:dyDescent="0.25">
      <c r="A108" s="770"/>
      <c r="B108" s="770" t="s">
        <v>4796</v>
      </c>
      <c r="C108" s="770"/>
      <c r="D108" s="770"/>
      <c r="E108" s="770"/>
      <c r="F108" s="770"/>
      <c r="G108" s="770"/>
      <c r="H108" s="770"/>
      <c r="I108" s="770"/>
      <c r="J108" s="770"/>
      <c r="K108" s="770"/>
      <c r="L108" s="770"/>
      <c r="M108" s="770"/>
      <c r="N108" s="770"/>
      <c r="O108" s="770"/>
      <c r="Q108" s="780" t="s">
        <v>4907</v>
      </c>
    </row>
    <row r="109" spans="1:17" ht="15" x14ac:dyDescent="0.25">
      <c r="A109" s="770"/>
      <c r="B109" s="770" t="s">
        <v>4797</v>
      </c>
      <c r="C109" s="770"/>
      <c r="D109" s="770"/>
      <c r="E109" s="770"/>
      <c r="F109" s="770"/>
      <c r="G109" s="770"/>
      <c r="H109" s="770"/>
      <c r="I109" s="770"/>
      <c r="J109" s="770"/>
      <c r="K109" s="770"/>
      <c r="L109" s="770"/>
      <c r="M109" s="770"/>
      <c r="N109" s="770"/>
      <c r="O109" s="770"/>
      <c r="Q109"/>
    </row>
    <row r="110" spans="1:17" ht="15" x14ac:dyDescent="0.25">
      <c r="A110" s="770"/>
      <c r="B110" s="770" t="s">
        <v>4798</v>
      </c>
      <c r="C110" s="770"/>
      <c r="D110" s="770"/>
      <c r="E110" s="770"/>
      <c r="F110" s="770"/>
      <c r="G110" s="770"/>
      <c r="H110" s="770"/>
      <c r="I110" s="770"/>
      <c r="J110" s="770"/>
      <c r="K110" s="770"/>
      <c r="L110" s="770"/>
      <c r="M110" s="770"/>
      <c r="N110" s="770"/>
      <c r="O110" s="770"/>
      <c r="Q110" s="780" t="s">
        <v>4908</v>
      </c>
    </row>
    <row r="111" spans="1:17" ht="15" x14ac:dyDescent="0.25">
      <c r="A111" s="770"/>
      <c r="B111" s="770" t="s">
        <v>4799</v>
      </c>
      <c r="C111" s="770"/>
      <c r="D111" s="770"/>
      <c r="E111" s="770"/>
      <c r="F111" s="770"/>
      <c r="G111" s="770"/>
      <c r="H111" s="770"/>
      <c r="I111" s="770"/>
      <c r="J111" s="770"/>
      <c r="K111" s="770"/>
      <c r="L111" s="770"/>
      <c r="M111" s="770"/>
      <c r="N111" s="770"/>
      <c r="O111" s="770"/>
      <c r="Q111" s="780" t="s">
        <v>4909</v>
      </c>
    </row>
    <row r="112" spans="1:17" ht="15" x14ac:dyDescent="0.25">
      <c r="A112" s="770"/>
      <c r="B112" s="770"/>
      <c r="C112" s="770"/>
      <c r="D112" s="770"/>
      <c r="E112" s="770"/>
      <c r="F112" s="770"/>
      <c r="G112" s="770"/>
      <c r="H112" s="770"/>
      <c r="I112" s="770"/>
      <c r="J112" s="770"/>
      <c r="K112" s="770"/>
      <c r="L112" s="770"/>
      <c r="M112" s="770"/>
      <c r="N112" s="770"/>
      <c r="O112" s="770"/>
      <c r="Q112" s="780" t="s">
        <v>4910</v>
      </c>
    </row>
    <row r="113" spans="1:17" ht="15" x14ac:dyDescent="0.25">
      <c r="A113" s="770"/>
      <c r="B113" s="770" t="s">
        <v>4800</v>
      </c>
      <c r="C113" s="770"/>
      <c r="D113" s="770"/>
      <c r="E113" s="770"/>
      <c r="F113" s="770"/>
      <c r="G113" s="770"/>
      <c r="H113" s="770"/>
      <c r="I113" s="770"/>
      <c r="J113" s="770"/>
      <c r="K113" s="770"/>
      <c r="L113" s="770"/>
      <c r="M113" s="770"/>
      <c r="N113" s="770"/>
      <c r="O113" s="770"/>
      <c r="Q113" s="780" t="s">
        <v>4911</v>
      </c>
    </row>
    <row r="114" spans="1:17" ht="15" x14ac:dyDescent="0.25">
      <c r="A114" s="770"/>
      <c r="B114" s="770" t="s">
        <v>4801</v>
      </c>
      <c r="C114" s="770"/>
      <c r="D114" s="770"/>
      <c r="E114" s="770"/>
      <c r="F114" s="770"/>
      <c r="G114" s="770"/>
      <c r="H114" s="770"/>
      <c r="I114" s="770"/>
      <c r="J114" s="770"/>
      <c r="K114" s="770"/>
      <c r="L114" s="770"/>
      <c r="M114" s="770"/>
      <c r="N114" s="770"/>
      <c r="O114" s="770"/>
      <c r="Q114" s="780" t="s">
        <v>4912</v>
      </c>
    </row>
    <row r="115" spans="1:17" ht="15" x14ac:dyDescent="0.25">
      <c r="A115" s="770"/>
      <c r="B115" s="770" t="s">
        <v>4802</v>
      </c>
      <c r="C115" s="770"/>
      <c r="D115" s="770"/>
      <c r="E115" s="770"/>
      <c r="F115" s="770"/>
      <c r="G115" s="770"/>
      <c r="H115" s="770"/>
      <c r="I115" s="770"/>
      <c r="J115" s="770"/>
      <c r="K115" s="770"/>
      <c r="L115" s="770"/>
      <c r="M115" s="770"/>
      <c r="N115" s="770"/>
      <c r="O115" s="770"/>
      <c r="Q115" s="780" t="s">
        <v>4913</v>
      </c>
    </row>
    <row r="116" spans="1:17" ht="15" x14ac:dyDescent="0.25">
      <c r="A116" s="770"/>
      <c r="B116" s="770" t="s">
        <v>4803</v>
      </c>
      <c r="C116" s="770"/>
      <c r="D116" s="770"/>
      <c r="E116" s="770"/>
      <c r="F116" s="770"/>
      <c r="G116" s="770"/>
      <c r="H116" s="770"/>
      <c r="I116" s="770"/>
      <c r="J116" s="770"/>
      <c r="K116" s="770"/>
      <c r="L116" s="770"/>
      <c r="M116" s="770"/>
      <c r="N116" s="770"/>
      <c r="O116" s="770"/>
      <c r="Q116" s="780" t="s">
        <v>4914</v>
      </c>
    </row>
    <row r="117" spans="1:17" ht="15" x14ac:dyDescent="0.25">
      <c r="A117" s="770"/>
      <c r="B117" s="770" t="s">
        <v>4804</v>
      </c>
      <c r="C117" s="770"/>
      <c r="D117" s="770"/>
      <c r="E117" s="770"/>
      <c r="F117" s="770"/>
      <c r="G117" s="770"/>
      <c r="H117" s="770"/>
      <c r="I117" s="770"/>
      <c r="J117" s="770"/>
      <c r="K117" s="770"/>
      <c r="L117" s="770"/>
      <c r="M117" s="770"/>
      <c r="N117" s="770"/>
      <c r="O117" s="770"/>
      <c r="Q117" s="780" t="s">
        <v>4915</v>
      </c>
    </row>
    <row r="118" spans="1:17" ht="15" x14ac:dyDescent="0.25">
      <c r="A118" s="770"/>
      <c r="B118" s="770" t="s">
        <v>4805</v>
      </c>
      <c r="C118" s="770"/>
      <c r="D118" s="770"/>
      <c r="E118" s="770"/>
      <c r="F118" s="770"/>
      <c r="G118" s="770"/>
      <c r="H118" s="770"/>
      <c r="I118" s="770"/>
      <c r="J118" s="770"/>
      <c r="K118" s="770"/>
      <c r="L118" s="770"/>
      <c r="M118" s="770"/>
      <c r="N118" s="770"/>
      <c r="O118" s="770"/>
      <c r="Q118" s="780" t="s">
        <v>4916</v>
      </c>
    </row>
    <row r="119" spans="1:17" ht="15" x14ac:dyDescent="0.25">
      <c r="A119" s="770"/>
      <c r="B119" s="770" t="s">
        <v>4806</v>
      </c>
      <c r="C119" s="770"/>
      <c r="D119" s="770"/>
      <c r="E119" s="770"/>
      <c r="F119" s="770"/>
      <c r="G119" s="770"/>
      <c r="H119" s="770"/>
      <c r="I119" s="770"/>
      <c r="J119" s="770"/>
      <c r="K119" s="770"/>
      <c r="L119" s="770"/>
      <c r="M119" s="770"/>
      <c r="N119" s="770"/>
      <c r="O119" s="770"/>
      <c r="Q119" s="780" t="s">
        <v>4917</v>
      </c>
    </row>
    <row r="120" spans="1:17" ht="15" x14ac:dyDescent="0.25">
      <c r="A120" s="770"/>
      <c r="B120" s="770" t="s">
        <v>4807</v>
      </c>
      <c r="C120" s="770"/>
      <c r="D120" s="770"/>
      <c r="E120" s="770"/>
      <c r="F120" s="770"/>
      <c r="G120" s="770"/>
      <c r="H120" s="770"/>
      <c r="I120" s="770"/>
      <c r="J120" s="770"/>
      <c r="K120" s="770"/>
      <c r="L120" s="770"/>
      <c r="M120" s="770"/>
      <c r="N120" s="770"/>
      <c r="O120" s="770"/>
      <c r="Q120" s="780" t="s">
        <v>4918</v>
      </c>
    </row>
    <row r="121" spans="1:17" ht="15" x14ac:dyDescent="0.25">
      <c r="A121" s="770"/>
      <c r="B121" s="770" t="s">
        <v>4808</v>
      </c>
      <c r="C121" s="770"/>
      <c r="D121" s="770"/>
      <c r="E121" s="770"/>
      <c r="F121" s="770"/>
      <c r="G121" s="770"/>
      <c r="H121" s="770"/>
      <c r="I121" s="770"/>
      <c r="J121" s="770"/>
      <c r="K121" s="770"/>
      <c r="L121" s="770"/>
      <c r="M121" s="770"/>
      <c r="N121" s="770"/>
      <c r="O121" s="770"/>
      <c r="Q121" s="780" t="s">
        <v>4919</v>
      </c>
    </row>
    <row r="122" spans="1:17" ht="15" x14ac:dyDescent="0.25">
      <c r="A122" s="770"/>
      <c r="B122" s="770" t="s">
        <v>4809</v>
      </c>
      <c r="C122" s="770"/>
      <c r="D122" s="770"/>
      <c r="E122" s="770"/>
      <c r="F122" s="770"/>
      <c r="G122" s="770"/>
      <c r="H122" s="770"/>
      <c r="I122" s="770"/>
      <c r="J122" s="770"/>
      <c r="K122" s="770"/>
      <c r="L122" s="770"/>
      <c r="M122" s="770"/>
      <c r="N122" s="770"/>
      <c r="O122" s="770"/>
      <c r="Q122" s="780" t="s">
        <v>4920</v>
      </c>
    </row>
    <row r="123" spans="1:17" ht="15" x14ac:dyDescent="0.25">
      <c r="A123" s="770"/>
      <c r="B123" s="770" t="s">
        <v>4810</v>
      </c>
      <c r="C123" s="770"/>
      <c r="D123" s="770"/>
      <c r="E123" s="770"/>
      <c r="F123" s="770"/>
      <c r="G123" s="770"/>
      <c r="H123" s="770"/>
      <c r="I123" s="770"/>
      <c r="J123" s="770"/>
      <c r="K123" s="770"/>
      <c r="L123" s="770"/>
      <c r="M123" s="770"/>
      <c r="N123" s="770"/>
      <c r="O123" s="770"/>
      <c r="Q123"/>
    </row>
    <row r="124" spans="1:17" ht="15" x14ac:dyDescent="0.25">
      <c r="A124" s="770"/>
      <c r="B124" s="770" t="s">
        <v>4811</v>
      </c>
      <c r="C124" s="770"/>
      <c r="D124" s="770"/>
      <c r="E124" s="770"/>
      <c r="F124" s="770"/>
      <c r="G124" s="770"/>
      <c r="H124" s="770"/>
      <c r="I124" s="770"/>
      <c r="J124" s="770"/>
      <c r="K124" s="770"/>
      <c r="L124" s="770"/>
      <c r="M124" s="770"/>
      <c r="N124" s="770"/>
      <c r="O124" s="770"/>
      <c r="Q124" s="780" t="s">
        <v>4921</v>
      </c>
    </row>
    <row r="125" spans="1:17" ht="15" x14ac:dyDescent="0.25">
      <c r="A125" s="770"/>
      <c r="B125" s="770"/>
      <c r="C125" s="770"/>
      <c r="D125" s="770"/>
      <c r="E125" s="770"/>
      <c r="F125" s="770"/>
      <c r="G125" s="770"/>
      <c r="H125" s="770"/>
      <c r="I125" s="770"/>
      <c r="J125" s="770"/>
      <c r="K125" s="770"/>
      <c r="L125" s="770"/>
      <c r="M125" s="770"/>
      <c r="N125" s="770"/>
      <c r="O125" s="770"/>
      <c r="Q125" s="780" t="s">
        <v>4922</v>
      </c>
    </row>
    <row r="126" spans="1:17" ht="15" x14ac:dyDescent="0.25">
      <c r="A126" s="770"/>
      <c r="B126" s="770" t="s">
        <v>4812</v>
      </c>
      <c r="C126" s="770"/>
      <c r="D126" s="770"/>
      <c r="E126" s="770"/>
      <c r="F126" s="770"/>
      <c r="G126" s="770"/>
      <c r="H126" s="770"/>
      <c r="I126" s="770"/>
      <c r="J126" s="770"/>
      <c r="K126" s="770"/>
      <c r="L126" s="770"/>
      <c r="M126" s="770"/>
      <c r="N126" s="770"/>
      <c r="O126" s="770"/>
      <c r="Q126" s="780" t="s">
        <v>4923</v>
      </c>
    </row>
    <row r="127" spans="1:17" ht="15" x14ac:dyDescent="0.25">
      <c r="A127" s="770"/>
      <c r="B127" s="770" t="s">
        <v>4813</v>
      </c>
      <c r="C127" s="770"/>
      <c r="D127" s="770"/>
      <c r="E127" s="770"/>
      <c r="F127" s="770"/>
      <c r="G127" s="770"/>
      <c r="H127" s="770"/>
      <c r="I127" s="770"/>
      <c r="J127" s="770"/>
      <c r="K127" s="770"/>
      <c r="L127" s="770"/>
      <c r="M127" s="770"/>
      <c r="N127" s="770"/>
      <c r="O127" s="770"/>
      <c r="Q127" s="780" t="s">
        <v>4924</v>
      </c>
    </row>
    <row r="128" spans="1:17" ht="15" x14ac:dyDescent="0.25">
      <c r="A128" s="770"/>
      <c r="B128" s="770" t="s">
        <v>4814</v>
      </c>
      <c r="C128" s="770"/>
      <c r="D128" s="770"/>
      <c r="E128" s="770"/>
      <c r="F128" s="770"/>
      <c r="G128" s="770"/>
      <c r="H128" s="770"/>
      <c r="I128" s="770"/>
      <c r="J128" s="770"/>
      <c r="K128" s="770"/>
      <c r="L128" s="770"/>
      <c r="M128" s="770"/>
      <c r="N128" s="770"/>
      <c r="O128" s="770"/>
      <c r="Q128" s="780" t="s">
        <v>4925</v>
      </c>
    </row>
    <row r="129" spans="1:17" ht="15" x14ac:dyDescent="0.25">
      <c r="A129" s="770"/>
      <c r="B129" s="770" t="s">
        <v>4815</v>
      </c>
      <c r="C129" s="770"/>
      <c r="D129" s="770"/>
      <c r="E129" s="770"/>
      <c r="F129" s="770"/>
      <c r="G129" s="770"/>
      <c r="H129" s="770"/>
      <c r="I129" s="770"/>
      <c r="J129" s="770"/>
      <c r="K129" s="770"/>
      <c r="L129" s="770"/>
      <c r="M129" s="770"/>
      <c r="N129" s="770"/>
      <c r="O129" s="770"/>
      <c r="Q129" s="780" t="s">
        <v>4926</v>
      </c>
    </row>
    <row r="130" spans="1:17" ht="15" x14ac:dyDescent="0.25">
      <c r="A130" s="770"/>
      <c r="B130" s="770" t="s">
        <v>4816</v>
      </c>
      <c r="C130" s="770"/>
      <c r="D130" s="770"/>
      <c r="E130" s="770"/>
      <c r="F130" s="770"/>
      <c r="G130" s="770"/>
      <c r="H130" s="770"/>
      <c r="I130" s="770"/>
      <c r="J130" s="770"/>
      <c r="K130" s="770"/>
      <c r="L130" s="770"/>
      <c r="M130" s="770"/>
      <c r="N130" s="770"/>
      <c r="O130" s="770"/>
      <c r="Q130" s="780" t="s">
        <v>4927</v>
      </c>
    </row>
    <row r="131" spans="1:17" ht="15" x14ac:dyDescent="0.25">
      <c r="A131" s="770"/>
      <c r="B131" s="770" t="s">
        <v>4817</v>
      </c>
      <c r="C131" s="770"/>
      <c r="D131" s="770"/>
      <c r="E131" s="770"/>
      <c r="F131" s="770"/>
      <c r="G131" s="770"/>
      <c r="H131" s="770"/>
      <c r="I131" s="770"/>
      <c r="J131" s="770"/>
      <c r="K131" s="770"/>
      <c r="L131" s="770"/>
      <c r="M131" s="770"/>
      <c r="N131" s="770"/>
      <c r="O131" s="770"/>
      <c r="Q131" s="780" t="s">
        <v>4928</v>
      </c>
    </row>
    <row r="132" spans="1:17" ht="15" x14ac:dyDescent="0.25">
      <c r="A132" s="770"/>
      <c r="B132" s="770"/>
      <c r="C132" s="770"/>
      <c r="D132" s="770"/>
      <c r="E132" s="770"/>
      <c r="F132" s="770"/>
      <c r="G132" s="770"/>
      <c r="H132" s="770"/>
      <c r="I132" s="770"/>
      <c r="J132" s="770"/>
      <c r="K132" s="770"/>
      <c r="L132" s="770"/>
      <c r="M132" s="770"/>
      <c r="N132" s="770"/>
      <c r="O132" s="770"/>
      <c r="Q132" s="780" t="s">
        <v>4929</v>
      </c>
    </row>
    <row r="133" spans="1:17" ht="15" x14ac:dyDescent="0.25">
      <c r="Q133"/>
    </row>
    <row r="134" spans="1:17" ht="15" x14ac:dyDescent="0.25">
      <c r="Q134" s="780" t="s">
        <v>4930</v>
      </c>
    </row>
    <row r="135" spans="1:17" ht="15" x14ac:dyDescent="0.25">
      <c r="Q135" s="780" t="s">
        <v>4931</v>
      </c>
    </row>
    <row r="136" spans="1:17" ht="15" x14ac:dyDescent="0.25">
      <c r="Q136" s="780" t="s">
        <v>4932</v>
      </c>
    </row>
    <row r="137" spans="1:17" ht="15" x14ac:dyDescent="0.25">
      <c r="Q137" s="780" t="s">
        <v>4933</v>
      </c>
    </row>
    <row r="138" spans="1:17" ht="15" x14ac:dyDescent="0.25">
      <c r="Q138" s="780" t="s">
        <v>4934</v>
      </c>
    </row>
    <row r="139" spans="1:17" ht="15" x14ac:dyDescent="0.25">
      <c r="Q139" s="780" t="s">
        <v>4935</v>
      </c>
    </row>
    <row r="140" spans="1:17" ht="15" x14ac:dyDescent="0.25">
      <c r="Q140" s="780" t="s">
        <v>4936</v>
      </c>
    </row>
    <row r="141" spans="1:17" ht="15" x14ac:dyDescent="0.25">
      <c r="Q141"/>
    </row>
    <row r="142" spans="1:17" ht="15" x14ac:dyDescent="0.25">
      <c r="Q142" s="780" t="s">
        <v>4800</v>
      </c>
    </row>
    <row r="143" spans="1:17" ht="15" x14ac:dyDescent="0.25">
      <c r="Q143" s="780" t="s">
        <v>4937</v>
      </c>
    </row>
    <row r="144" spans="1:17" ht="15" x14ac:dyDescent="0.25">
      <c r="Q144" s="780" t="s">
        <v>4802</v>
      </c>
    </row>
    <row r="145" spans="17:17" ht="15" x14ac:dyDescent="0.25">
      <c r="Q145" s="780" t="s">
        <v>4938</v>
      </c>
    </row>
    <row r="146" spans="17:17" ht="15" x14ac:dyDescent="0.25">
      <c r="Q146" s="780" t="s">
        <v>4939</v>
      </c>
    </row>
    <row r="147" spans="17:17" ht="15" x14ac:dyDescent="0.25">
      <c r="Q147" s="780" t="s">
        <v>4940</v>
      </c>
    </row>
    <row r="148" spans="17:17" ht="15" x14ac:dyDescent="0.25">
      <c r="Q148" s="780" t="s">
        <v>4941</v>
      </c>
    </row>
    <row r="149" spans="17:17" ht="15" x14ac:dyDescent="0.25">
      <c r="Q149" s="780" t="s">
        <v>4942</v>
      </c>
    </row>
    <row r="150" spans="17:17" ht="15" x14ac:dyDescent="0.25">
      <c r="Q150" s="780" t="s">
        <v>4943</v>
      </c>
    </row>
    <row r="151" spans="17:17" ht="15" x14ac:dyDescent="0.25">
      <c r="Q151" s="780" t="s">
        <v>4944</v>
      </c>
    </row>
    <row r="152" spans="17:17" ht="15" x14ac:dyDescent="0.25">
      <c r="Q152" s="780" t="s">
        <v>4945</v>
      </c>
    </row>
    <row r="153" spans="17:17" ht="15" x14ac:dyDescent="0.25">
      <c r="Q153"/>
    </row>
    <row r="154" spans="17:17" ht="15" x14ac:dyDescent="0.25">
      <c r="Q154" s="780" t="s">
        <v>4946</v>
      </c>
    </row>
    <row r="155" spans="17:17" ht="15" x14ac:dyDescent="0.25">
      <c r="Q155" s="780" t="s">
        <v>4947</v>
      </c>
    </row>
    <row r="156" spans="17:17" ht="15" x14ac:dyDescent="0.25">
      <c r="Q156" s="780" t="s">
        <v>4948</v>
      </c>
    </row>
    <row r="157" spans="17:17" ht="15" x14ac:dyDescent="0.25">
      <c r="Q157" s="780" t="s">
        <v>4949</v>
      </c>
    </row>
    <row r="158" spans="17:17" ht="15" x14ac:dyDescent="0.25">
      <c r="Q158" s="780" t="s">
        <v>4950</v>
      </c>
    </row>
    <row r="159" spans="17:17" ht="15" x14ac:dyDescent="0.25">
      <c r="Q159" s="780" t="s">
        <v>4951</v>
      </c>
    </row>
    <row r="160" spans="17:17" ht="15" x14ac:dyDescent="0.25">
      <c r="Q160" s="780" t="s">
        <v>4952</v>
      </c>
    </row>
    <row r="161" spans="1:17" ht="15" x14ac:dyDescent="0.25">
      <c r="Q161"/>
    </row>
    <row r="162" spans="1:17" ht="15" x14ac:dyDescent="0.25">
      <c r="Q162" s="780" t="s">
        <v>4953</v>
      </c>
    </row>
    <row r="163" spans="1:17" ht="15" x14ac:dyDescent="0.25">
      <c r="Q163"/>
    </row>
    <row r="164" spans="1:17" ht="15" x14ac:dyDescent="0.25">
      <c r="Q164" s="780" t="s">
        <v>4954</v>
      </c>
    </row>
    <row r="165" spans="1:17" ht="15" x14ac:dyDescent="0.25">
      <c r="Q165"/>
    </row>
    <row r="166" spans="1:17" ht="15" x14ac:dyDescent="0.25">
      <c r="Q166" s="780" t="s">
        <v>4812</v>
      </c>
    </row>
    <row r="167" spans="1:17" ht="15" x14ac:dyDescent="0.25">
      <c r="Q167" s="780" t="s">
        <v>4955</v>
      </c>
    </row>
    <row r="168" spans="1:17" ht="15" x14ac:dyDescent="0.25">
      <c r="Q168" s="780" t="s">
        <v>4956</v>
      </c>
    </row>
    <row r="169" spans="1:17" ht="15" x14ac:dyDescent="0.25">
      <c r="Q169" s="780" t="s">
        <v>4957</v>
      </c>
    </row>
    <row r="170" spans="1:17" ht="15" x14ac:dyDescent="0.25">
      <c r="Q170" s="780" t="s">
        <v>4958</v>
      </c>
    </row>
    <row r="171" spans="1:17" ht="15" x14ac:dyDescent="0.25">
      <c r="Q171" s="780" t="s">
        <v>4959</v>
      </c>
    </row>
    <row r="172" spans="1:17" ht="15" x14ac:dyDescent="0.25">
      <c r="Q172" s="780" t="s">
        <v>4960</v>
      </c>
    </row>
    <row r="173" spans="1:17" ht="15" x14ac:dyDescent="0.25">
      <c r="A173" s="781">
        <v>1</v>
      </c>
      <c r="B173" s="781">
        <v>1</v>
      </c>
      <c r="C173" s="781">
        <v>1</v>
      </c>
      <c r="D173" s="781">
        <v>1</v>
      </c>
      <c r="E173" s="781">
        <v>1</v>
      </c>
      <c r="F173" s="781">
        <v>1</v>
      </c>
      <c r="G173" s="781">
        <v>1</v>
      </c>
      <c r="H173" s="781">
        <v>1</v>
      </c>
      <c r="I173" s="781">
        <v>1</v>
      </c>
      <c r="J173" s="781">
        <v>1</v>
      </c>
      <c r="K173" s="781">
        <v>1</v>
      </c>
      <c r="L173" s="781">
        <v>1</v>
      </c>
      <c r="M173" s="781">
        <v>1</v>
      </c>
      <c r="N173" s="781">
        <v>1</v>
      </c>
      <c r="O173" s="781">
        <v>1</v>
      </c>
      <c r="P173" s="781">
        <v>1</v>
      </c>
      <c r="Q173" s="781">
        <v>1</v>
      </c>
    </row>
  </sheetData>
  <mergeCells count="1">
    <mergeCell ref="Q5:Q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F4C3-02F5-460B-9797-E1A184483625}">
  <dimension ref="A1:BF244"/>
  <sheetViews>
    <sheetView topLeftCell="A5" zoomScaleNormal="100" workbookViewId="0">
      <selection activeCell="O18" sqref="O18"/>
    </sheetView>
  </sheetViews>
  <sheetFormatPr baseColWidth="10" defaultRowHeight="15.75" x14ac:dyDescent="0.25"/>
  <cols>
    <col min="1" max="1" width="3" style="364" customWidth="1"/>
    <col min="2" max="2" width="4.140625" style="364" customWidth="1"/>
    <col min="3" max="3" width="13.28515625" style="364" customWidth="1"/>
    <col min="4" max="4" width="21.28515625" style="364" customWidth="1"/>
    <col min="5" max="8" width="13.28515625" style="364" customWidth="1"/>
    <col min="9" max="9" width="17.140625" style="364" customWidth="1"/>
    <col min="10" max="10" width="19" style="364" customWidth="1"/>
    <col min="11" max="12" width="16.7109375" style="364" customWidth="1"/>
    <col min="13" max="13" width="18.28515625" style="364" customWidth="1"/>
    <col min="14" max="16" width="16.7109375" style="364" customWidth="1"/>
    <col min="17" max="21" width="11.42578125" style="364"/>
    <col min="22" max="22" width="13.7109375" style="364" customWidth="1"/>
    <col min="23" max="23" width="21.7109375" style="364" customWidth="1"/>
    <col min="24" max="27" width="13.7109375" style="364" customWidth="1"/>
    <col min="28" max="28" width="16.7109375" style="364" customWidth="1"/>
    <col min="29" max="29" width="18.7109375" style="364" customWidth="1"/>
    <col min="30" max="31" width="16.7109375" style="364" customWidth="1"/>
    <col min="32" max="32" width="18.7109375" style="364" customWidth="1"/>
    <col min="33" max="35" width="16.7109375" style="364" customWidth="1"/>
    <col min="36" max="36" width="11.7109375" style="364" customWidth="1"/>
    <col min="37" max="37" width="14.42578125" style="364" customWidth="1"/>
    <col min="38" max="38" width="13.7109375" style="364" customWidth="1"/>
    <col min="39" max="39" width="21.7109375" style="364" customWidth="1"/>
    <col min="40" max="43" width="13.7109375" style="364" customWidth="1"/>
    <col min="44" max="44" width="16.7109375" style="364" customWidth="1"/>
    <col min="45" max="45" width="18.7109375" style="364" customWidth="1"/>
    <col min="46" max="47" width="16.7109375" style="364" customWidth="1"/>
    <col min="48" max="48" width="18.7109375" style="364" customWidth="1"/>
    <col min="49" max="51" width="16.7109375" style="364" customWidth="1"/>
    <col min="52" max="52" width="11.7109375" style="364" customWidth="1"/>
    <col min="53" max="57" width="11.42578125" style="364"/>
    <col min="58" max="58" width="80.28515625" style="364" customWidth="1"/>
    <col min="59" max="16384" width="11.42578125" style="364"/>
  </cols>
  <sheetData>
    <row r="1" spans="1:58" s="344" customFormat="1" thickTop="1" x14ac:dyDescent="0.25">
      <c r="A1" s="337" t="str">
        <f>ADDRESS(ROW(),COLUMN(),4)</f>
        <v>A1</v>
      </c>
      <c r="B1" s="338"/>
      <c r="C1" s="213" t="str">
        <f t="shared" ref="C1:T1" si="0">SUBSTITUTE(ADDRESS(1,COLUMN(),4),"1","")</f>
        <v>C</v>
      </c>
      <c r="D1" s="213" t="str">
        <f t="shared" si="0"/>
        <v>D</v>
      </c>
      <c r="E1" s="213" t="str">
        <f t="shared" si="0"/>
        <v>E</v>
      </c>
      <c r="F1" s="213" t="str">
        <f t="shared" si="0"/>
        <v>F</v>
      </c>
      <c r="G1" s="213" t="str">
        <f t="shared" si="0"/>
        <v>G</v>
      </c>
      <c r="H1" s="213" t="str">
        <f t="shared" si="0"/>
        <v>H</v>
      </c>
      <c r="I1" s="213" t="str">
        <f t="shared" si="0"/>
        <v>I</v>
      </c>
      <c r="J1" s="213" t="str">
        <f t="shared" si="0"/>
        <v>J</v>
      </c>
      <c r="K1" s="213" t="str">
        <f t="shared" si="0"/>
        <v>K</v>
      </c>
      <c r="L1" s="213" t="str">
        <f t="shared" si="0"/>
        <v>L</v>
      </c>
      <c r="M1" s="213" t="str">
        <f t="shared" si="0"/>
        <v>M</v>
      </c>
      <c r="N1" s="213" t="str">
        <f t="shared" si="0"/>
        <v>N</v>
      </c>
      <c r="O1" s="213" t="str">
        <f t="shared" si="0"/>
        <v>O</v>
      </c>
      <c r="P1" s="213" t="str">
        <f t="shared" si="0"/>
        <v>P</v>
      </c>
      <c r="Q1" s="213" t="str">
        <f t="shared" si="0"/>
        <v>Q</v>
      </c>
      <c r="R1" s="213" t="str">
        <f t="shared" si="0"/>
        <v>R</v>
      </c>
      <c r="S1" s="213" t="str">
        <f t="shared" si="0"/>
        <v>S</v>
      </c>
      <c r="T1" s="213" t="str">
        <f t="shared" si="0"/>
        <v>T</v>
      </c>
      <c r="U1" s="339"/>
      <c r="V1" s="213" t="str">
        <f t="shared" ref="V1:AJ1" si="1">SUBSTITUTE(ADDRESS(1,COLUMN(),4),"1","")</f>
        <v>V</v>
      </c>
      <c r="W1" s="213" t="str">
        <f t="shared" si="1"/>
        <v>W</v>
      </c>
      <c r="X1" s="213" t="str">
        <f t="shared" si="1"/>
        <v>X</v>
      </c>
      <c r="Y1" s="213" t="str">
        <f t="shared" si="1"/>
        <v>Y</v>
      </c>
      <c r="Z1" s="213" t="str">
        <f t="shared" si="1"/>
        <v>Z</v>
      </c>
      <c r="AA1" s="213" t="str">
        <f t="shared" si="1"/>
        <v>AA</v>
      </c>
      <c r="AB1" s="213" t="str">
        <f t="shared" si="1"/>
        <v>AB</v>
      </c>
      <c r="AC1" s="213" t="str">
        <f t="shared" si="1"/>
        <v>AC</v>
      </c>
      <c r="AD1" s="213" t="str">
        <f t="shared" si="1"/>
        <v>AD</v>
      </c>
      <c r="AE1" s="213" t="str">
        <f t="shared" si="1"/>
        <v>AE</v>
      </c>
      <c r="AF1" s="213" t="str">
        <f t="shared" si="1"/>
        <v>AF</v>
      </c>
      <c r="AG1" s="213" t="str">
        <f t="shared" si="1"/>
        <v>AG</v>
      </c>
      <c r="AH1" s="213" t="str">
        <f t="shared" si="1"/>
        <v>AH</v>
      </c>
      <c r="AI1" s="213" t="str">
        <f t="shared" si="1"/>
        <v>AI</v>
      </c>
      <c r="AJ1" s="213" t="str">
        <f t="shared" si="1"/>
        <v>AJ</v>
      </c>
      <c r="AK1" s="340"/>
      <c r="AL1" s="213" t="str">
        <f t="shared" ref="AL1:AZ1" si="2">SUBSTITUTE(ADDRESS(1,COLUMN(),4),"1","")</f>
        <v>AL</v>
      </c>
      <c r="AM1" s="213" t="str">
        <f t="shared" si="2"/>
        <v>AM</v>
      </c>
      <c r="AN1" s="213" t="str">
        <f t="shared" si="2"/>
        <v>AN</v>
      </c>
      <c r="AO1" s="213" t="str">
        <f t="shared" si="2"/>
        <v>AO</v>
      </c>
      <c r="AP1" s="213" t="str">
        <f t="shared" si="2"/>
        <v>AP</v>
      </c>
      <c r="AQ1" s="213" t="str">
        <f t="shared" si="2"/>
        <v>AQ</v>
      </c>
      <c r="AR1" s="213" t="str">
        <f t="shared" si="2"/>
        <v>AR</v>
      </c>
      <c r="AS1" s="213" t="str">
        <f t="shared" si="2"/>
        <v>AS</v>
      </c>
      <c r="AT1" s="213" t="str">
        <f t="shared" si="2"/>
        <v>AT</v>
      </c>
      <c r="AU1" s="213" t="str">
        <f t="shared" si="2"/>
        <v>AU</v>
      </c>
      <c r="AV1" s="213" t="str">
        <f t="shared" si="2"/>
        <v>AV</v>
      </c>
      <c r="AW1" s="213" t="str">
        <f t="shared" si="2"/>
        <v>AW</v>
      </c>
      <c r="AX1" s="213" t="str">
        <f t="shared" si="2"/>
        <v>AX</v>
      </c>
      <c r="AY1" s="213" t="str">
        <f t="shared" si="2"/>
        <v>AY</v>
      </c>
      <c r="AZ1" s="213" t="str">
        <f t="shared" si="2"/>
        <v>AZ</v>
      </c>
      <c r="BA1" s="340"/>
      <c r="BB1" s="340"/>
      <c r="BC1" s="340"/>
      <c r="BD1" s="341">
        <v>1</v>
      </c>
      <c r="BE1" s="342" t="str">
        <f>SUBSTITUTE(ADDRESS(1,COLUMN(),4),"1","")</f>
        <v>BE</v>
      </c>
      <c r="BF1" s="343" t="str">
        <f>SUBSTITUTE(ADDRESS(1,COLUMN(),4),"1","")</f>
        <v>BF</v>
      </c>
    </row>
    <row r="2" spans="1:58" s="344" customFormat="1" ht="15" x14ac:dyDescent="0.25">
      <c r="A2" s="338"/>
      <c r="B2" s="338"/>
      <c r="C2" s="345">
        <f t="shared" ref="C2:T2" ca="1" si="3">INDEX(CELL("largeur",C2),1,1)</f>
        <v>13</v>
      </c>
      <c r="D2" s="345">
        <f t="shared" ca="1" si="3"/>
        <v>21</v>
      </c>
      <c r="E2" s="345">
        <f t="shared" ca="1" si="3"/>
        <v>13</v>
      </c>
      <c r="F2" s="345">
        <f t="shared" ca="1" si="3"/>
        <v>13</v>
      </c>
      <c r="G2" s="345">
        <f t="shared" ca="1" si="3"/>
        <v>13</v>
      </c>
      <c r="H2" s="345">
        <f t="shared" ca="1" si="3"/>
        <v>13</v>
      </c>
      <c r="I2" s="345">
        <f t="shared" ca="1" si="3"/>
        <v>16</v>
      </c>
      <c r="J2" s="345">
        <f t="shared" ca="1" si="3"/>
        <v>18</v>
      </c>
      <c r="K2" s="345">
        <f t="shared" ca="1" si="3"/>
        <v>16</v>
      </c>
      <c r="L2" s="345">
        <f t="shared" ca="1" si="3"/>
        <v>16</v>
      </c>
      <c r="M2" s="345">
        <f t="shared" ca="1" si="3"/>
        <v>18</v>
      </c>
      <c r="N2" s="345">
        <f t="shared" ca="1" si="3"/>
        <v>16</v>
      </c>
      <c r="O2" s="345">
        <f t="shared" ca="1" si="3"/>
        <v>16</v>
      </c>
      <c r="P2" s="345">
        <f t="shared" ca="1" si="3"/>
        <v>16</v>
      </c>
      <c r="Q2" s="345">
        <f t="shared" ca="1" si="3"/>
        <v>11</v>
      </c>
      <c r="R2" s="345">
        <f t="shared" ca="1" si="3"/>
        <v>11</v>
      </c>
      <c r="S2" s="345">
        <f t="shared" ca="1" si="3"/>
        <v>11</v>
      </c>
      <c r="T2" s="345">
        <f t="shared" ca="1" si="3"/>
        <v>11</v>
      </c>
      <c r="U2" s="339"/>
      <c r="V2" s="345">
        <f t="shared" ref="V2:AJ2" ca="1" si="4">INDEX(CELL("largeur",V2),1,1)</f>
        <v>13</v>
      </c>
      <c r="W2" s="345">
        <f t="shared" ca="1" si="4"/>
        <v>21</v>
      </c>
      <c r="X2" s="345">
        <f t="shared" ca="1" si="4"/>
        <v>13</v>
      </c>
      <c r="Y2" s="345">
        <f t="shared" ca="1" si="4"/>
        <v>13</v>
      </c>
      <c r="Z2" s="345">
        <f t="shared" ca="1" si="4"/>
        <v>13</v>
      </c>
      <c r="AA2" s="345">
        <f t="shared" ca="1" si="4"/>
        <v>13</v>
      </c>
      <c r="AB2" s="345">
        <f t="shared" ca="1" si="4"/>
        <v>16</v>
      </c>
      <c r="AC2" s="345">
        <f t="shared" ca="1" si="4"/>
        <v>18</v>
      </c>
      <c r="AD2" s="345">
        <f t="shared" ca="1" si="4"/>
        <v>16</v>
      </c>
      <c r="AE2" s="345">
        <f t="shared" ca="1" si="4"/>
        <v>16</v>
      </c>
      <c r="AF2" s="345">
        <f t="shared" ca="1" si="4"/>
        <v>18</v>
      </c>
      <c r="AG2" s="345">
        <f t="shared" ca="1" si="4"/>
        <v>16</v>
      </c>
      <c r="AH2" s="345">
        <f t="shared" ca="1" si="4"/>
        <v>16</v>
      </c>
      <c r="AI2" s="345">
        <f t="shared" ca="1" si="4"/>
        <v>16</v>
      </c>
      <c r="AJ2" s="345">
        <f t="shared" ca="1" si="4"/>
        <v>11</v>
      </c>
      <c r="AK2" s="340"/>
      <c r="AL2" s="345">
        <f t="shared" ref="AL2:AZ2" ca="1" si="5">INDEX(CELL("largeur",AL2),1,1)</f>
        <v>13</v>
      </c>
      <c r="AM2" s="345">
        <f t="shared" ca="1" si="5"/>
        <v>21</v>
      </c>
      <c r="AN2" s="345">
        <f t="shared" ca="1" si="5"/>
        <v>13</v>
      </c>
      <c r="AO2" s="345">
        <f t="shared" ca="1" si="5"/>
        <v>13</v>
      </c>
      <c r="AP2" s="345">
        <f t="shared" ca="1" si="5"/>
        <v>13</v>
      </c>
      <c r="AQ2" s="345">
        <f t="shared" ca="1" si="5"/>
        <v>13</v>
      </c>
      <c r="AR2" s="345">
        <f t="shared" ca="1" si="5"/>
        <v>16</v>
      </c>
      <c r="AS2" s="345">
        <f t="shared" ca="1" si="5"/>
        <v>18</v>
      </c>
      <c r="AT2" s="345">
        <f t="shared" ca="1" si="5"/>
        <v>16</v>
      </c>
      <c r="AU2" s="345">
        <f t="shared" ca="1" si="5"/>
        <v>16</v>
      </c>
      <c r="AV2" s="345">
        <f t="shared" ca="1" si="5"/>
        <v>18</v>
      </c>
      <c r="AW2" s="345">
        <f t="shared" ca="1" si="5"/>
        <v>16</v>
      </c>
      <c r="AX2" s="345">
        <f t="shared" ca="1" si="5"/>
        <v>16</v>
      </c>
      <c r="AY2" s="345">
        <f t="shared" ca="1" si="5"/>
        <v>16</v>
      </c>
      <c r="AZ2" s="345">
        <f t="shared" ca="1" si="5"/>
        <v>11</v>
      </c>
      <c r="BA2" s="340"/>
      <c r="BB2" s="340"/>
      <c r="BC2" s="340"/>
      <c r="BD2" s="341">
        <v>1</v>
      </c>
      <c r="BE2" s="346" t="s">
        <v>4428</v>
      </c>
      <c r="BF2" s="347"/>
    </row>
    <row r="3" spans="1:58" s="344" customFormat="1" x14ac:dyDescent="0.25">
      <c r="A3" s="338"/>
      <c r="B3" s="338"/>
      <c r="C3" s="348">
        <v>13</v>
      </c>
      <c r="D3" s="348">
        <v>21</v>
      </c>
      <c r="E3" s="348">
        <v>13</v>
      </c>
      <c r="F3" s="348">
        <v>13</v>
      </c>
      <c r="G3" s="348">
        <v>13</v>
      </c>
      <c r="H3" s="348">
        <v>13</v>
      </c>
      <c r="I3" s="348">
        <v>16</v>
      </c>
      <c r="J3" s="348">
        <v>18</v>
      </c>
      <c r="K3" s="348">
        <v>16</v>
      </c>
      <c r="L3" s="348">
        <v>16</v>
      </c>
      <c r="M3" s="348">
        <v>18</v>
      </c>
      <c r="N3" s="348">
        <v>16</v>
      </c>
      <c r="O3" s="348">
        <v>16</v>
      </c>
      <c r="P3" s="348">
        <v>16</v>
      </c>
      <c r="Q3" s="348">
        <v>11</v>
      </c>
      <c r="R3" s="348">
        <v>11</v>
      </c>
      <c r="S3" s="348">
        <v>11</v>
      </c>
      <c r="T3" s="348">
        <v>11</v>
      </c>
      <c r="U3" s="339"/>
      <c r="V3" s="348">
        <v>13</v>
      </c>
      <c r="W3" s="348">
        <v>21</v>
      </c>
      <c r="X3" s="348">
        <v>13</v>
      </c>
      <c r="Y3" s="348">
        <v>13</v>
      </c>
      <c r="Z3" s="348">
        <v>13</v>
      </c>
      <c r="AA3" s="348">
        <v>13</v>
      </c>
      <c r="AB3" s="348">
        <v>16</v>
      </c>
      <c r="AC3" s="348">
        <v>18</v>
      </c>
      <c r="AD3" s="348">
        <v>16</v>
      </c>
      <c r="AE3" s="348">
        <v>16</v>
      </c>
      <c r="AF3" s="348">
        <v>18</v>
      </c>
      <c r="AG3" s="348">
        <v>16</v>
      </c>
      <c r="AH3" s="348">
        <v>16</v>
      </c>
      <c r="AI3" s="348">
        <v>16</v>
      </c>
      <c r="AJ3" s="348">
        <v>11</v>
      </c>
      <c r="AK3" s="340"/>
      <c r="AL3" s="348">
        <v>13</v>
      </c>
      <c r="AM3" s="348">
        <v>21</v>
      </c>
      <c r="AN3" s="348">
        <v>13</v>
      </c>
      <c r="AO3" s="348">
        <v>13</v>
      </c>
      <c r="AP3" s="348">
        <v>13</v>
      </c>
      <c r="AQ3" s="348">
        <v>13</v>
      </c>
      <c r="AR3" s="348">
        <v>16</v>
      </c>
      <c r="AS3" s="348">
        <v>18</v>
      </c>
      <c r="AT3" s="348">
        <v>16</v>
      </c>
      <c r="AU3" s="348">
        <v>16</v>
      </c>
      <c r="AV3" s="348">
        <v>18</v>
      </c>
      <c r="AW3" s="348">
        <v>16</v>
      </c>
      <c r="AX3" s="348">
        <v>16</v>
      </c>
      <c r="AY3" s="348">
        <v>16</v>
      </c>
      <c r="AZ3" s="348">
        <v>11</v>
      </c>
      <c r="BA3" s="340"/>
      <c r="BB3" s="340"/>
      <c r="BC3" s="340"/>
      <c r="BD3" s="341">
        <v>1</v>
      </c>
      <c r="BE3" s="349">
        <f ca="1">COUNTA(A1:BD244) + COUNTBLANK(A1:BD244)</f>
        <v>13668</v>
      </c>
      <c r="BF3" s="350" t="str">
        <f>"cellules entre -cells -celdas  "&amp;" " &amp;A1&amp;" et  "&amp;BD244</f>
        <v>cellules entre -cells -celdas   A1 et  BD244</v>
      </c>
    </row>
    <row r="4" spans="1:58" s="344" customFormat="1" ht="21" customHeight="1" x14ac:dyDescent="0.25">
      <c r="A4" s="338"/>
      <c r="B4" s="338"/>
      <c r="C4" s="351" t="s">
        <v>4429</v>
      </c>
      <c r="D4" s="338"/>
      <c r="E4" s="338"/>
      <c r="F4" s="338"/>
      <c r="G4" s="338"/>
      <c r="H4" s="338"/>
      <c r="I4" s="338"/>
      <c r="J4" s="338"/>
      <c r="K4" s="338"/>
      <c r="L4" s="338"/>
      <c r="M4" s="338"/>
      <c r="N4" s="338"/>
      <c r="O4" s="338"/>
      <c r="P4" s="338"/>
      <c r="Q4" s="338"/>
      <c r="R4" s="339"/>
      <c r="S4" s="339"/>
      <c r="T4" s="339"/>
      <c r="U4" s="339"/>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1">
        <v>1</v>
      </c>
      <c r="BE4" s="349">
        <f ca="1">COUNTA(A1:BD244)</f>
        <v>1427</v>
      </c>
      <c r="BF4" s="350" t="s">
        <v>4430</v>
      </c>
    </row>
    <row r="5" spans="1:58" s="344" customFormat="1" ht="21" customHeight="1" x14ac:dyDescent="0.25">
      <c r="A5" s="338"/>
      <c r="B5" s="338"/>
      <c r="C5" s="338"/>
      <c r="D5" s="338"/>
      <c r="E5" s="338"/>
      <c r="F5" s="338"/>
      <c r="G5" s="338"/>
      <c r="H5" s="338"/>
      <c r="I5" s="338"/>
      <c r="J5" s="338"/>
      <c r="K5" s="338"/>
      <c r="L5" s="338"/>
      <c r="M5" s="338"/>
      <c r="N5" s="338"/>
      <c r="O5" s="338"/>
      <c r="P5" s="338"/>
      <c r="Q5" s="338"/>
      <c r="R5" s="339"/>
      <c r="S5" s="339"/>
      <c r="T5" s="339"/>
      <c r="U5" s="339"/>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52" t="s">
        <v>4431</v>
      </c>
      <c r="BC5" s="337" t="str">
        <f>BD244</f>
        <v>BD244</v>
      </c>
      <c r="BD5" s="341">
        <v>1</v>
      </c>
      <c r="BE5" s="349">
        <f ca="1">COUNTBLANK(A1:BD244)</f>
        <v>12241</v>
      </c>
      <c r="BF5" s="350" t="s">
        <v>4432</v>
      </c>
    </row>
    <row r="6" spans="1:58" s="344" customFormat="1" ht="30" customHeight="1" x14ac:dyDescent="0.25">
      <c r="A6" s="338"/>
      <c r="B6" s="338"/>
      <c r="C6" s="353" t="s">
        <v>4433</v>
      </c>
      <c r="D6" s="338"/>
      <c r="E6" s="338"/>
      <c r="F6" s="338"/>
      <c r="G6" s="338"/>
      <c r="H6" s="338"/>
      <c r="I6" s="338"/>
      <c r="J6" s="338"/>
      <c r="K6" s="338"/>
      <c r="L6" s="338"/>
      <c r="M6" s="338"/>
      <c r="N6" s="338"/>
      <c r="O6" s="338"/>
      <c r="P6" s="338"/>
      <c r="Q6" s="338"/>
      <c r="R6" s="339"/>
      <c r="S6" s="339"/>
      <c r="T6" s="339"/>
      <c r="U6" s="339"/>
      <c r="V6" s="353" t="s">
        <v>4434</v>
      </c>
      <c r="W6" s="340"/>
      <c r="X6" s="340"/>
      <c r="Y6" s="340"/>
      <c r="Z6" s="340"/>
      <c r="AA6" s="340"/>
      <c r="AB6" s="340"/>
      <c r="AC6" s="340"/>
      <c r="AD6" s="340"/>
      <c r="AE6" s="340"/>
      <c r="AF6" s="340"/>
      <c r="AG6" s="340"/>
      <c r="AH6" s="340"/>
      <c r="AI6" s="340"/>
      <c r="AJ6" s="340"/>
      <c r="AK6" s="340"/>
      <c r="AL6" s="353" t="s">
        <v>4435</v>
      </c>
      <c r="AM6" s="340"/>
      <c r="AN6" s="340"/>
      <c r="AO6" s="340"/>
      <c r="AP6" s="340"/>
      <c r="AQ6" s="340"/>
      <c r="AR6" s="340"/>
      <c r="AS6" s="340"/>
      <c r="AT6" s="340"/>
      <c r="AU6" s="340"/>
      <c r="AV6" s="340"/>
      <c r="AW6" s="340"/>
      <c r="AX6" s="340"/>
      <c r="AY6" s="340"/>
      <c r="AZ6" s="340"/>
      <c r="BA6" s="340"/>
      <c r="BB6" s="340"/>
      <c r="BC6" s="340"/>
      <c r="BD6" s="341">
        <v>1</v>
      </c>
      <c r="BE6" s="349">
        <f>SUM(BD1:BD242)+2</f>
        <v>238</v>
      </c>
      <c r="BF6" s="350" t="s">
        <v>4436</v>
      </c>
    </row>
    <row r="7" spans="1:58" s="344" customFormat="1" ht="30" customHeight="1" x14ac:dyDescent="0.25">
      <c r="A7" s="338"/>
      <c r="B7" s="338"/>
      <c r="C7" s="353" t="s">
        <v>4437</v>
      </c>
      <c r="D7" s="339"/>
      <c r="E7" s="339"/>
      <c r="F7" s="339"/>
      <c r="G7" s="339"/>
      <c r="H7" s="339"/>
      <c r="I7" s="339"/>
      <c r="J7" s="339"/>
      <c r="K7" s="339"/>
      <c r="L7" s="339"/>
      <c r="M7" s="339"/>
      <c r="N7" s="339"/>
      <c r="O7" s="339"/>
      <c r="P7" s="339"/>
      <c r="Q7" s="338"/>
      <c r="R7" s="339"/>
      <c r="S7" s="339"/>
      <c r="T7" s="339"/>
      <c r="U7" s="339"/>
      <c r="V7" s="353" t="s">
        <v>4438</v>
      </c>
      <c r="W7" s="339"/>
      <c r="X7" s="339"/>
      <c r="Y7" s="339"/>
      <c r="Z7" s="339"/>
      <c r="AA7" s="339"/>
      <c r="AB7" s="339"/>
      <c r="AC7" s="339"/>
      <c r="AD7" s="339"/>
      <c r="AE7" s="339"/>
      <c r="AF7" s="340"/>
      <c r="AG7" s="339"/>
      <c r="AH7" s="339"/>
      <c r="AI7" s="339"/>
      <c r="AJ7" s="339"/>
      <c r="AK7" s="339"/>
      <c r="AL7" s="353" t="s">
        <v>4439</v>
      </c>
      <c r="AM7" s="339"/>
      <c r="AN7" s="339"/>
      <c r="AO7" s="339"/>
      <c r="AP7" s="339"/>
      <c r="AQ7" s="339"/>
      <c r="AR7" s="339"/>
      <c r="AS7" s="340"/>
      <c r="AT7" s="340"/>
      <c r="AU7" s="340"/>
      <c r="AV7" s="340"/>
      <c r="AW7" s="340"/>
      <c r="AX7" s="340"/>
      <c r="AY7" s="340"/>
      <c r="AZ7" s="340"/>
      <c r="BA7" s="340"/>
      <c r="BB7" s="340"/>
      <c r="BC7" s="340"/>
      <c r="BD7" s="341">
        <v>1</v>
      </c>
      <c r="BE7" s="349">
        <f>SUM(A244:BC244)+1</f>
        <v>56</v>
      </c>
      <c r="BF7" s="350" t="s">
        <v>4440</v>
      </c>
    </row>
    <row r="8" spans="1:58" s="344" customFormat="1" ht="30" customHeight="1" x14ac:dyDescent="0.25">
      <c r="A8" s="338"/>
      <c r="B8" s="338"/>
      <c r="C8" s="353" t="s">
        <v>4441</v>
      </c>
      <c r="D8" s="354"/>
      <c r="E8" s="354"/>
      <c r="F8" s="354"/>
      <c r="G8" s="354"/>
      <c r="H8" s="354"/>
      <c r="I8" s="354"/>
      <c r="J8" s="354"/>
      <c r="K8" s="354"/>
      <c r="L8" s="339"/>
      <c r="M8" s="339"/>
      <c r="N8" s="339"/>
      <c r="O8" s="339"/>
      <c r="P8" s="339"/>
      <c r="Q8" s="338"/>
      <c r="R8" s="339"/>
      <c r="S8" s="339"/>
      <c r="T8" s="339"/>
      <c r="U8" s="339"/>
      <c r="V8" s="353" t="s">
        <v>4442</v>
      </c>
      <c r="W8" s="354"/>
      <c r="X8" s="354"/>
      <c r="Y8" s="354"/>
      <c r="Z8" s="354"/>
      <c r="AA8" s="354"/>
      <c r="AB8" s="354"/>
      <c r="AC8" s="354"/>
      <c r="AD8" s="354"/>
      <c r="AE8" s="339"/>
      <c r="AF8" s="340"/>
      <c r="AG8" s="339"/>
      <c r="AH8" s="339"/>
      <c r="AI8" s="339"/>
      <c r="AJ8" s="339"/>
      <c r="AK8" s="339"/>
      <c r="AL8" s="353" t="s">
        <v>4443</v>
      </c>
      <c r="AM8" s="354"/>
      <c r="AN8" s="354"/>
      <c r="AO8" s="354"/>
      <c r="AP8" s="354"/>
      <c r="AQ8" s="354"/>
      <c r="AR8" s="354"/>
      <c r="AS8" s="340"/>
      <c r="AT8" s="340"/>
      <c r="AU8" s="340"/>
      <c r="AV8" s="340"/>
      <c r="AW8" s="340"/>
      <c r="AX8" s="340"/>
      <c r="AY8" s="340"/>
      <c r="AZ8" s="340"/>
      <c r="BA8" s="340"/>
      <c r="BB8" s="340"/>
      <c r="BC8" s="340"/>
      <c r="BD8" s="341">
        <v>1</v>
      </c>
    </row>
    <row r="9" spans="1:58" s="344" customFormat="1" ht="30" customHeight="1" x14ac:dyDescent="0.25">
      <c r="A9" s="338"/>
      <c r="B9" s="338"/>
      <c r="C9" s="353" t="s">
        <v>4444</v>
      </c>
      <c r="D9" s="354"/>
      <c r="E9" s="354"/>
      <c r="F9" s="354"/>
      <c r="G9" s="354"/>
      <c r="H9" s="354"/>
      <c r="I9" s="354"/>
      <c r="J9" s="354"/>
      <c r="K9" s="354"/>
      <c r="L9" s="339"/>
      <c r="M9" s="339"/>
      <c r="N9" s="339"/>
      <c r="O9" s="339"/>
      <c r="P9" s="339"/>
      <c r="Q9" s="339"/>
      <c r="R9" s="339"/>
      <c r="S9" s="339"/>
      <c r="T9" s="339"/>
      <c r="U9" s="339"/>
      <c r="V9" s="353" t="s">
        <v>4445</v>
      </c>
      <c r="W9" s="354"/>
      <c r="X9" s="354"/>
      <c r="Y9" s="354"/>
      <c r="Z9" s="354"/>
      <c r="AA9" s="354"/>
      <c r="AB9" s="354"/>
      <c r="AC9" s="354"/>
      <c r="AD9" s="354"/>
      <c r="AE9" s="339"/>
      <c r="AF9" s="340"/>
      <c r="AG9" s="339"/>
      <c r="AH9" s="339"/>
      <c r="AI9" s="339"/>
      <c r="AJ9" s="339"/>
      <c r="AK9" s="339"/>
      <c r="AL9" s="353" t="s">
        <v>4446</v>
      </c>
      <c r="AM9" s="354"/>
      <c r="AN9" s="354"/>
      <c r="AO9" s="354"/>
      <c r="AP9" s="354"/>
      <c r="AQ9" s="354"/>
      <c r="AR9" s="354"/>
      <c r="AS9" s="340"/>
      <c r="AT9" s="340"/>
      <c r="AU9" s="340"/>
      <c r="AV9" s="340"/>
      <c r="AW9" s="340"/>
      <c r="AX9" s="340"/>
      <c r="AY9" s="340"/>
      <c r="AZ9" s="340"/>
      <c r="BA9" s="340"/>
      <c r="BB9" s="340"/>
      <c r="BC9" s="340"/>
      <c r="BD9" s="341">
        <v>1</v>
      </c>
    </row>
    <row r="10" spans="1:58" s="344" customFormat="1" ht="30" customHeight="1" x14ac:dyDescent="0.25">
      <c r="A10" s="338"/>
      <c r="B10" s="338"/>
      <c r="C10" s="353"/>
      <c r="D10" s="355"/>
      <c r="E10" s="355"/>
      <c r="F10" s="355"/>
      <c r="G10" s="355"/>
      <c r="H10" s="355"/>
      <c r="I10" s="355"/>
      <c r="J10" s="355"/>
      <c r="K10" s="355"/>
      <c r="L10" s="355"/>
      <c r="M10" s="355"/>
      <c r="N10" s="355"/>
      <c r="O10" s="355"/>
      <c r="P10" s="355"/>
      <c r="Q10" s="355"/>
      <c r="R10" s="355"/>
      <c r="S10" s="355"/>
      <c r="T10" s="355"/>
      <c r="U10" s="355"/>
      <c r="V10" s="353"/>
      <c r="W10" s="355"/>
      <c r="X10" s="355"/>
      <c r="Y10" s="355"/>
      <c r="Z10" s="355"/>
      <c r="AA10" s="355"/>
      <c r="AB10" s="355"/>
      <c r="AC10" s="355"/>
      <c r="AD10" s="355"/>
      <c r="AE10" s="355"/>
      <c r="AF10" s="340"/>
      <c r="AG10" s="355"/>
      <c r="AH10" s="355"/>
      <c r="AI10" s="355"/>
      <c r="AJ10" s="355"/>
      <c r="AK10" s="355"/>
      <c r="AL10" s="353"/>
      <c r="AM10" s="355"/>
      <c r="AN10" s="355"/>
      <c r="AO10" s="355"/>
      <c r="AP10" s="355"/>
      <c r="AQ10" s="355"/>
      <c r="AR10" s="355"/>
      <c r="AS10" s="340"/>
      <c r="AT10" s="340"/>
      <c r="AU10" s="340"/>
      <c r="AV10" s="340"/>
      <c r="AW10" s="340"/>
      <c r="AX10" s="340"/>
      <c r="AY10" s="340"/>
      <c r="AZ10" s="340"/>
      <c r="BA10" s="340"/>
      <c r="BB10" s="340"/>
      <c r="BC10" s="340"/>
      <c r="BD10" s="341">
        <v>1</v>
      </c>
    </row>
    <row r="11" spans="1:58" s="344" customFormat="1" ht="30" customHeight="1" x14ac:dyDescent="0.25">
      <c r="A11" s="338"/>
      <c r="B11" s="338"/>
      <c r="C11" s="353" t="s">
        <v>4447</v>
      </c>
      <c r="D11" s="355"/>
      <c r="E11" s="355"/>
      <c r="F11" s="355"/>
      <c r="G11" s="355"/>
      <c r="H11" s="355"/>
      <c r="I11" s="355"/>
      <c r="J11" s="355"/>
      <c r="K11" s="355"/>
      <c r="L11" s="355"/>
      <c r="M11" s="355"/>
      <c r="N11" s="355"/>
      <c r="O11" s="355"/>
      <c r="P11" s="355"/>
      <c r="Q11" s="355"/>
      <c r="R11" s="355"/>
      <c r="S11" s="355"/>
      <c r="T11" s="355"/>
      <c r="U11" s="355"/>
      <c r="V11" s="353" t="s">
        <v>4448</v>
      </c>
      <c r="W11" s="355"/>
      <c r="X11" s="355"/>
      <c r="Y11" s="355"/>
      <c r="Z11" s="355"/>
      <c r="AA11" s="355"/>
      <c r="AB11" s="355"/>
      <c r="AC11" s="355"/>
      <c r="AD11" s="355"/>
      <c r="AE11" s="355"/>
      <c r="AF11" s="340"/>
      <c r="AG11" s="355"/>
      <c r="AH11" s="355"/>
      <c r="AI11" s="355"/>
      <c r="AJ11" s="355"/>
      <c r="AK11" s="355"/>
      <c r="AL11" s="353" t="s">
        <v>4449</v>
      </c>
      <c r="AM11" s="355"/>
      <c r="AN11" s="355"/>
      <c r="AO11" s="355"/>
      <c r="AP11" s="355"/>
      <c r="AQ11" s="355"/>
      <c r="AR11" s="355"/>
      <c r="AS11" s="340"/>
      <c r="AT11" s="340"/>
      <c r="AU11" s="340"/>
      <c r="AV11" s="340"/>
      <c r="AW11" s="340"/>
      <c r="AX11" s="340"/>
      <c r="AY11" s="340"/>
      <c r="AZ11" s="340"/>
      <c r="BA11" s="340"/>
      <c r="BB11" s="340"/>
      <c r="BC11" s="340"/>
      <c r="BD11" s="341">
        <v>1</v>
      </c>
    </row>
    <row r="12" spans="1:58" s="344" customFormat="1" ht="30" customHeight="1" x14ac:dyDescent="0.25">
      <c r="A12" s="338"/>
      <c r="B12" s="338"/>
      <c r="C12" s="353" t="s">
        <v>4450</v>
      </c>
      <c r="D12" s="355"/>
      <c r="E12" s="355"/>
      <c r="F12" s="355"/>
      <c r="G12" s="355"/>
      <c r="H12" s="355"/>
      <c r="I12" s="355"/>
      <c r="J12" s="355"/>
      <c r="K12" s="355"/>
      <c r="L12" s="355"/>
      <c r="M12" s="355"/>
      <c r="N12" s="355"/>
      <c r="O12" s="355"/>
      <c r="P12" s="355"/>
      <c r="Q12" s="355"/>
      <c r="R12" s="355"/>
      <c r="S12" s="355"/>
      <c r="T12" s="355"/>
      <c r="U12" s="355"/>
      <c r="V12" s="353" t="s">
        <v>4451</v>
      </c>
      <c r="W12" s="355"/>
      <c r="X12" s="355"/>
      <c r="Y12" s="355"/>
      <c r="Z12" s="355"/>
      <c r="AA12" s="355"/>
      <c r="AB12" s="355"/>
      <c r="AC12" s="355"/>
      <c r="AD12" s="355"/>
      <c r="AE12" s="355"/>
      <c r="AF12" s="340"/>
      <c r="AG12" s="355"/>
      <c r="AH12" s="355"/>
      <c r="AI12" s="355"/>
      <c r="AJ12" s="355"/>
      <c r="AK12" s="355"/>
      <c r="AL12" s="353" t="s">
        <v>4452</v>
      </c>
      <c r="AM12" s="355"/>
      <c r="AN12" s="355"/>
      <c r="AO12" s="355"/>
      <c r="AP12" s="355"/>
      <c r="AQ12" s="355"/>
      <c r="AR12" s="355"/>
      <c r="AS12" s="340"/>
      <c r="AT12" s="340"/>
      <c r="AU12" s="340"/>
      <c r="AV12" s="340"/>
      <c r="AW12" s="340"/>
      <c r="AX12" s="340"/>
      <c r="AY12" s="340"/>
      <c r="AZ12" s="340"/>
      <c r="BA12" s="340"/>
      <c r="BB12" s="340"/>
      <c r="BC12" s="340"/>
      <c r="BD12" s="341">
        <v>1</v>
      </c>
    </row>
    <row r="13" spans="1:58" s="344" customFormat="1" ht="30" customHeight="1" x14ac:dyDescent="0.25">
      <c r="A13" s="338"/>
      <c r="B13" s="338"/>
      <c r="C13" s="353"/>
      <c r="D13" s="355"/>
      <c r="E13" s="355"/>
      <c r="F13" s="355"/>
      <c r="G13" s="355"/>
      <c r="H13" s="355"/>
      <c r="I13" s="355"/>
      <c r="J13" s="355"/>
      <c r="K13" s="355"/>
      <c r="L13" s="355"/>
      <c r="M13" s="355"/>
      <c r="N13" s="355"/>
      <c r="O13" s="355"/>
      <c r="P13" s="355"/>
      <c r="Q13" s="355"/>
      <c r="R13" s="355"/>
      <c r="S13" s="355"/>
      <c r="T13" s="355"/>
      <c r="U13" s="355"/>
      <c r="V13" s="353"/>
      <c r="W13" s="355"/>
      <c r="X13" s="355"/>
      <c r="Y13" s="355"/>
      <c r="Z13" s="355"/>
      <c r="AA13" s="355"/>
      <c r="AB13" s="355"/>
      <c r="AC13" s="355"/>
      <c r="AD13" s="355"/>
      <c r="AE13" s="355"/>
      <c r="AF13" s="340"/>
      <c r="AG13" s="355"/>
      <c r="AH13" s="355"/>
      <c r="AI13" s="355"/>
      <c r="AJ13" s="355"/>
      <c r="AK13" s="355"/>
      <c r="AL13" s="353"/>
      <c r="AM13" s="355"/>
      <c r="AN13" s="355"/>
      <c r="AO13" s="355"/>
      <c r="AP13" s="355"/>
      <c r="AQ13" s="355"/>
      <c r="AR13" s="355"/>
      <c r="AS13" s="340"/>
      <c r="AT13" s="340"/>
      <c r="AU13" s="340"/>
      <c r="AV13" s="340"/>
      <c r="AW13" s="340"/>
      <c r="AX13" s="340"/>
      <c r="AY13" s="340"/>
      <c r="AZ13" s="340"/>
      <c r="BA13" s="340"/>
      <c r="BB13" s="340"/>
      <c r="BC13" s="340"/>
      <c r="BD13" s="341">
        <v>1</v>
      </c>
    </row>
    <row r="14" spans="1:58" s="344" customFormat="1" ht="30" customHeight="1" x14ac:dyDescent="0.25">
      <c r="A14" s="338"/>
      <c r="B14" s="338"/>
      <c r="C14" s="353" t="s">
        <v>4453</v>
      </c>
      <c r="D14" s="355"/>
      <c r="E14" s="355"/>
      <c r="F14" s="355"/>
      <c r="G14" s="355"/>
      <c r="H14" s="355"/>
      <c r="I14" s="355"/>
      <c r="J14" s="355"/>
      <c r="K14" s="355"/>
      <c r="L14" s="355"/>
      <c r="M14" s="355"/>
      <c r="N14" s="355"/>
      <c r="O14" s="355"/>
      <c r="P14" s="355"/>
      <c r="Q14" s="355"/>
      <c r="R14" s="355"/>
      <c r="S14" s="355"/>
      <c r="T14" s="355"/>
      <c r="U14" s="355"/>
      <c r="V14" s="353" t="s">
        <v>4454</v>
      </c>
      <c r="W14" s="355"/>
      <c r="X14" s="355"/>
      <c r="Y14" s="355"/>
      <c r="Z14" s="355"/>
      <c r="AA14" s="355"/>
      <c r="AB14" s="355"/>
      <c r="AC14" s="355"/>
      <c r="AD14" s="355"/>
      <c r="AE14" s="355"/>
      <c r="AF14" s="340"/>
      <c r="AG14" s="355"/>
      <c r="AH14" s="355"/>
      <c r="AI14" s="355"/>
      <c r="AJ14" s="355"/>
      <c r="AK14" s="355"/>
      <c r="AL14" s="353" t="s">
        <v>4455</v>
      </c>
      <c r="AM14" s="355"/>
      <c r="AN14" s="355"/>
      <c r="AO14" s="355"/>
      <c r="AP14" s="355"/>
      <c r="AQ14" s="355"/>
      <c r="AR14" s="355"/>
      <c r="AS14" s="340"/>
      <c r="AT14" s="340"/>
      <c r="AU14" s="340"/>
      <c r="AV14" s="340"/>
      <c r="AW14" s="340"/>
      <c r="AX14" s="340"/>
      <c r="AY14" s="340"/>
      <c r="AZ14" s="340"/>
      <c r="BA14" s="340"/>
      <c r="BB14" s="340"/>
      <c r="BC14" s="340"/>
      <c r="BD14" s="341">
        <v>1</v>
      </c>
    </row>
    <row r="15" spans="1:58" s="344" customFormat="1" ht="30" customHeight="1" x14ac:dyDescent="0.25">
      <c r="A15" s="338"/>
      <c r="B15" s="338"/>
      <c r="C15" s="353" t="s">
        <v>4456</v>
      </c>
      <c r="D15" s="355"/>
      <c r="E15" s="355"/>
      <c r="F15" s="355"/>
      <c r="G15" s="355"/>
      <c r="H15" s="355"/>
      <c r="I15" s="355"/>
      <c r="J15" s="355"/>
      <c r="K15" s="355"/>
      <c r="L15" s="355"/>
      <c r="M15" s="355"/>
      <c r="N15" s="355"/>
      <c r="O15" s="355"/>
      <c r="P15" s="355"/>
      <c r="Q15" s="355"/>
      <c r="R15" s="355"/>
      <c r="S15" s="355"/>
      <c r="T15" s="355"/>
      <c r="U15" s="355"/>
      <c r="V15" s="353" t="s">
        <v>4457</v>
      </c>
      <c r="W15" s="355"/>
      <c r="X15" s="355"/>
      <c r="Y15" s="355"/>
      <c r="Z15" s="355"/>
      <c r="AA15" s="355"/>
      <c r="AB15" s="355"/>
      <c r="AC15" s="355"/>
      <c r="AD15" s="355"/>
      <c r="AE15" s="355"/>
      <c r="AF15" s="340"/>
      <c r="AG15" s="355"/>
      <c r="AH15" s="355"/>
      <c r="AI15" s="355"/>
      <c r="AJ15" s="355"/>
      <c r="AK15" s="355"/>
      <c r="AL15" s="353" t="s">
        <v>4458</v>
      </c>
      <c r="AM15" s="355"/>
      <c r="AN15" s="355"/>
      <c r="AO15" s="355"/>
      <c r="AP15" s="355"/>
      <c r="AQ15" s="355"/>
      <c r="AR15" s="355"/>
      <c r="AS15" s="340"/>
      <c r="AT15" s="340"/>
      <c r="AU15" s="340"/>
      <c r="AV15" s="340"/>
      <c r="AW15" s="340"/>
      <c r="AX15" s="340"/>
      <c r="AY15" s="340"/>
      <c r="AZ15" s="340"/>
      <c r="BA15" s="340"/>
      <c r="BB15" s="340"/>
      <c r="BC15" s="340"/>
      <c r="BD15" s="341">
        <v>1</v>
      </c>
    </row>
    <row r="16" spans="1:58" s="344" customFormat="1" ht="30" customHeight="1" x14ac:dyDescent="0.25">
      <c r="A16" s="338"/>
      <c r="B16" s="338"/>
      <c r="C16" s="353"/>
      <c r="D16" s="355"/>
      <c r="E16" s="355"/>
      <c r="F16" s="355"/>
      <c r="G16" s="355"/>
      <c r="H16" s="355"/>
      <c r="I16" s="355"/>
      <c r="J16" s="355"/>
      <c r="K16" s="355"/>
      <c r="L16" s="355"/>
      <c r="M16" s="355"/>
      <c r="N16" s="355"/>
      <c r="O16" s="355"/>
      <c r="P16" s="355"/>
      <c r="Q16" s="355"/>
      <c r="R16" s="355"/>
      <c r="S16" s="355"/>
      <c r="T16" s="355"/>
      <c r="U16" s="355"/>
      <c r="V16" s="353"/>
      <c r="W16" s="355"/>
      <c r="X16" s="355"/>
      <c r="Y16" s="355"/>
      <c r="Z16" s="355"/>
      <c r="AA16" s="355"/>
      <c r="AB16" s="355"/>
      <c r="AC16" s="355"/>
      <c r="AD16" s="355"/>
      <c r="AE16" s="355"/>
      <c r="AF16" s="340"/>
      <c r="AG16" s="355"/>
      <c r="AH16" s="355"/>
      <c r="AI16" s="355"/>
      <c r="AJ16" s="355"/>
      <c r="AK16" s="355"/>
      <c r="AL16" s="353"/>
      <c r="AM16" s="355"/>
      <c r="AN16" s="355"/>
      <c r="AO16" s="355"/>
      <c r="AP16" s="355"/>
      <c r="AQ16" s="355"/>
      <c r="AR16" s="355"/>
      <c r="AS16" s="340"/>
      <c r="AT16" s="340"/>
      <c r="AU16" s="340"/>
      <c r="AV16" s="340"/>
      <c r="AW16" s="340"/>
      <c r="AX16" s="340"/>
      <c r="AY16" s="340"/>
      <c r="AZ16" s="340"/>
      <c r="BA16" s="340"/>
      <c r="BB16" s="340"/>
      <c r="BC16" s="340"/>
      <c r="BD16" s="341">
        <v>1</v>
      </c>
    </row>
    <row r="17" spans="1:56" s="344" customFormat="1" ht="30" customHeight="1" x14ac:dyDescent="0.25">
      <c r="A17" s="338"/>
      <c r="B17" s="338"/>
      <c r="C17" s="353" t="s">
        <v>4459</v>
      </c>
      <c r="D17" s="355"/>
      <c r="E17" s="355"/>
      <c r="F17" s="355"/>
      <c r="G17" s="355"/>
      <c r="H17" s="355"/>
      <c r="I17" s="355"/>
      <c r="J17" s="355"/>
      <c r="K17" s="355"/>
      <c r="L17" s="355"/>
      <c r="M17" s="355"/>
      <c r="N17" s="355"/>
      <c r="O17" s="355"/>
      <c r="P17" s="355"/>
      <c r="Q17" s="355"/>
      <c r="R17" s="355"/>
      <c r="S17" s="355"/>
      <c r="T17" s="355"/>
      <c r="U17" s="355"/>
      <c r="V17" s="353" t="s">
        <v>4460</v>
      </c>
      <c r="W17" s="355"/>
      <c r="X17" s="355"/>
      <c r="Y17" s="355"/>
      <c r="Z17" s="355"/>
      <c r="AA17" s="355"/>
      <c r="AB17" s="355"/>
      <c r="AC17" s="355"/>
      <c r="AD17" s="355"/>
      <c r="AE17" s="355"/>
      <c r="AF17" s="340"/>
      <c r="AG17" s="355"/>
      <c r="AH17" s="355"/>
      <c r="AI17" s="355"/>
      <c r="AJ17" s="355"/>
      <c r="AK17" s="355"/>
      <c r="AL17" s="353" t="s">
        <v>4461</v>
      </c>
      <c r="AM17" s="355"/>
      <c r="AN17" s="355"/>
      <c r="AO17" s="355"/>
      <c r="AP17" s="355"/>
      <c r="AQ17" s="355"/>
      <c r="AR17" s="355"/>
      <c r="AS17" s="340"/>
      <c r="AT17" s="340"/>
      <c r="AU17" s="340"/>
      <c r="AV17" s="340"/>
      <c r="AW17" s="340"/>
      <c r="AX17" s="340"/>
      <c r="AY17" s="340"/>
      <c r="AZ17" s="340"/>
      <c r="BA17" s="340"/>
      <c r="BB17" s="340"/>
      <c r="BC17" s="340"/>
      <c r="BD17" s="341">
        <v>1</v>
      </c>
    </row>
    <row r="18" spans="1:56" s="344" customFormat="1" ht="30" customHeight="1" x14ac:dyDescent="0.25">
      <c r="A18" s="338"/>
      <c r="B18" s="338"/>
      <c r="C18" s="353" t="s">
        <v>4462</v>
      </c>
      <c r="D18" s="355"/>
      <c r="E18" s="355"/>
      <c r="F18" s="355"/>
      <c r="G18" s="355"/>
      <c r="H18" s="355"/>
      <c r="I18" s="355"/>
      <c r="J18" s="355"/>
      <c r="K18" s="355"/>
      <c r="L18" s="355"/>
      <c r="M18" s="355"/>
      <c r="N18" s="355"/>
      <c r="O18" s="355"/>
      <c r="P18" s="355"/>
      <c r="Q18" s="355"/>
      <c r="R18" s="355"/>
      <c r="S18" s="355"/>
      <c r="T18" s="355"/>
      <c r="U18" s="355"/>
      <c r="V18" s="353" t="s">
        <v>4463</v>
      </c>
      <c r="W18" s="355"/>
      <c r="X18" s="355"/>
      <c r="Y18" s="355"/>
      <c r="Z18" s="355"/>
      <c r="AA18" s="355"/>
      <c r="AB18" s="355"/>
      <c r="AC18" s="355"/>
      <c r="AD18" s="355"/>
      <c r="AE18" s="355"/>
      <c r="AF18" s="340"/>
      <c r="AG18" s="355"/>
      <c r="AH18" s="355"/>
      <c r="AI18" s="355"/>
      <c r="AJ18" s="355"/>
      <c r="AK18" s="355"/>
      <c r="AL18" s="353" t="s">
        <v>4464</v>
      </c>
      <c r="AM18" s="355"/>
      <c r="AN18" s="355"/>
      <c r="AO18" s="355"/>
      <c r="AP18" s="355"/>
      <c r="AQ18" s="355"/>
      <c r="AR18" s="355"/>
      <c r="AS18" s="340"/>
      <c r="AT18" s="340"/>
      <c r="AU18" s="340"/>
      <c r="AV18" s="340"/>
      <c r="AW18" s="340"/>
      <c r="AX18" s="340"/>
      <c r="AY18" s="340"/>
      <c r="AZ18" s="340"/>
      <c r="BA18" s="340"/>
      <c r="BB18" s="340"/>
      <c r="BC18" s="340"/>
      <c r="BD18" s="341">
        <v>1</v>
      </c>
    </row>
    <row r="19" spans="1:56" s="344" customFormat="1" ht="30" customHeight="1" x14ac:dyDescent="0.25">
      <c r="A19" s="338"/>
      <c r="B19" s="338"/>
      <c r="C19" s="353"/>
      <c r="D19" s="355"/>
      <c r="E19" s="355"/>
      <c r="F19" s="355"/>
      <c r="G19" s="355"/>
      <c r="H19" s="355"/>
      <c r="I19" s="355"/>
      <c r="J19" s="355"/>
      <c r="K19" s="355"/>
      <c r="L19" s="355"/>
      <c r="M19" s="355"/>
      <c r="N19" s="355"/>
      <c r="O19" s="355"/>
      <c r="P19" s="355"/>
      <c r="Q19" s="355"/>
      <c r="R19" s="355"/>
      <c r="S19" s="355"/>
      <c r="T19" s="355"/>
      <c r="U19" s="355"/>
      <c r="V19" s="353"/>
      <c r="W19" s="355"/>
      <c r="X19" s="355"/>
      <c r="Y19" s="355"/>
      <c r="Z19" s="355"/>
      <c r="AA19" s="355"/>
      <c r="AB19" s="355"/>
      <c r="AC19" s="355"/>
      <c r="AD19" s="355"/>
      <c r="AE19" s="355"/>
      <c r="AF19" s="340"/>
      <c r="AG19" s="355"/>
      <c r="AH19" s="355"/>
      <c r="AI19" s="355"/>
      <c r="AJ19" s="355"/>
      <c r="AK19" s="355"/>
      <c r="AL19" s="353"/>
      <c r="AM19" s="355"/>
      <c r="AN19" s="355"/>
      <c r="AO19" s="355"/>
      <c r="AP19" s="355"/>
      <c r="AQ19" s="355"/>
      <c r="AR19" s="355"/>
      <c r="AS19" s="340"/>
      <c r="AT19" s="340"/>
      <c r="AU19" s="340"/>
      <c r="AV19" s="340"/>
      <c r="AW19" s="340"/>
      <c r="AX19" s="340"/>
      <c r="AY19" s="340"/>
      <c r="AZ19" s="340"/>
      <c r="BA19" s="340"/>
      <c r="BB19" s="340"/>
      <c r="BC19" s="340"/>
      <c r="BD19" s="341">
        <v>1</v>
      </c>
    </row>
    <row r="20" spans="1:56" s="344" customFormat="1" ht="30" customHeight="1" x14ac:dyDescent="0.25">
      <c r="A20" s="338"/>
      <c r="B20" s="338"/>
      <c r="C20" s="356" t="s">
        <v>4465</v>
      </c>
      <c r="D20" s="355"/>
      <c r="E20" s="355"/>
      <c r="F20" s="355"/>
      <c r="G20" s="355"/>
      <c r="H20" s="355"/>
      <c r="I20" s="355"/>
      <c r="J20" s="355"/>
      <c r="K20" s="355"/>
      <c r="L20" s="355"/>
      <c r="M20" s="355"/>
      <c r="N20" s="355"/>
      <c r="O20" s="355"/>
      <c r="P20" s="355"/>
      <c r="Q20" s="355"/>
      <c r="R20" s="355"/>
      <c r="S20" s="355"/>
      <c r="T20" s="355"/>
      <c r="U20" s="355"/>
      <c r="V20" s="356" t="s">
        <v>4466</v>
      </c>
      <c r="W20" s="355"/>
      <c r="X20" s="355"/>
      <c r="Y20" s="355"/>
      <c r="Z20" s="355"/>
      <c r="AA20" s="355"/>
      <c r="AB20" s="355"/>
      <c r="AC20" s="355"/>
      <c r="AD20" s="355"/>
      <c r="AE20" s="355"/>
      <c r="AF20" s="340"/>
      <c r="AG20" s="355"/>
      <c r="AH20" s="355"/>
      <c r="AI20" s="355"/>
      <c r="AJ20" s="355"/>
      <c r="AK20" s="355"/>
      <c r="AL20" s="356" t="s">
        <v>4467</v>
      </c>
      <c r="AM20" s="355"/>
      <c r="AN20" s="355"/>
      <c r="AO20" s="355"/>
      <c r="AP20" s="355"/>
      <c r="AQ20" s="355"/>
      <c r="AR20" s="355"/>
      <c r="AS20" s="340"/>
      <c r="AT20" s="340"/>
      <c r="AU20" s="340"/>
      <c r="AV20" s="340"/>
      <c r="AW20" s="340"/>
      <c r="AX20" s="340"/>
      <c r="AY20" s="340"/>
      <c r="AZ20" s="340"/>
      <c r="BA20" s="340"/>
      <c r="BB20" s="340"/>
      <c r="BC20" s="340"/>
      <c r="BD20" s="341">
        <v>1</v>
      </c>
    </row>
    <row r="21" spans="1:56" s="344" customFormat="1" ht="30" customHeight="1" x14ac:dyDescent="0.25">
      <c r="A21" s="338"/>
      <c r="B21" s="338"/>
      <c r="C21" s="356" t="s">
        <v>4468</v>
      </c>
      <c r="D21" s="355"/>
      <c r="E21" s="355"/>
      <c r="F21" s="355"/>
      <c r="G21" s="355"/>
      <c r="H21" s="355"/>
      <c r="I21" s="355"/>
      <c r="J21" s="355"/>
      <c r="K21" s="355"/>
      <c r="L21" s="355"/>
      <c r="M21" s="355"/>
      <c r="N21" s="355"/>
      <c r="O21" s="355"/>
      <c r="P21" s="355"/>
      <c r="Q21" s="355"/>
      <c r="R21" s="355"/>
      <c r="S21" s="355"/>
      <c r="T21" s="355"/>
      <c r="U21" s="355"/>
      <c r="V21" s="356" t="s">
        <v>4469</v>
      </c>
      <c r="W21" s="355"/>
      <c r="X21" s="355"/>
      <c r="Y21" s="355"/>
      <c r="Z21" s="355"/>
      <c r="AA21" s="355"/>
      <c r="AB21" s="355"/>
      <c r="AC21" s="355"/>
      <c r="AD21" s="355"/>
      <c r="AE21" s="355"/>
      <c r="AF21" s="340"/>
      <c r="AG21" s="355"/>
      <c r="AH21" s="355"/>
      <c r="AI21" s="355"/>
      <c r="AJ21" s="355"/>
      <c r="AK21" s="355"/>
      <c r="AL21" s="356" t="s">
        <v>4470</v>
      </c>
      <c r="AM21" s="355"/>
      <c r="AN21" s="355"/>
      <c r="AO21" s="355"/>
      <c r="AP21" s="355"/>
      <c r="AQ21" s="355"/>
      <c r="AR21" s="355"/>
      <c r="AS21" s="340"/>
      <c r="AT21" s="340"/>
      <c r="AU21" s="340"/>
      <c r="AV21" s="340"/>
      <c r="AW21" s="340"/>
      <c r="AX21" s="340"/>
      <c r="AY21" s="340"/>
      <c r="AZ21" s="340"/>
      <c r="BA21" s="340"/>
      <c r="BB21" s="340"/>
      <c r="BC21" s="340"/>
      <c r="BD21" s="341"/>
    </row>
    <row r="22" spans="1:56" s="344" customFormat="1" ht="30" customHeight="1" x14ac:dyDescent="0.25">
      <c r="A22" s="338"/>
      <c r="B22" s="338"/>
      <c r="C22" s="356" t="s">
        <v>4471</v>
      </c>
      <c r="D22" s="355"/>
      <c r="E22" s="355"/>
      <c r="F22" s="355"/>
      <c r="G22" s="355"/>
      <c r="H22" s="355"/>
      <c r="I22" s="355"/>
      <c r="J22" s="355"/>
      <c r="K22" s="355"/>
      <c r="L22" s="355"/>
      <c r="M22" s="355"/>
      <c r="N22" s="355"/>
      <c r="O22" s="355"/>
      <c r="P22" s="355"/>
      <c r="Q22" s="355"/>
      <c r="R22" s="355"/>
      <c r="S22" s="355"/>
      <c r="T22" s="355"/>
      <c r="U22" s="355"/>
      <c r="V22" s="356" t="s">
        <v>4472</v>
      </c>
      <c r="W22" s="355"/>
      <c r="X22" s="355"/>
      <c r="Y22" s="355"/>
      <c r="Z22" s="355"/>
      <c r="AA22" s="355"/>
      <c r="AB22" s="355"/>
      <c r="AC22" s="355"/>
      <c r="AD22" s="355"/>
      <c r="AE22" s="355"/>
      <c r="AF22" s="340"/>
      <c r="AG22" s="355"/>
      <c r="AH22" s="355"/>
      <c r="AI22" s="355"/>
      <c r="AJ22" s="355"/>
      <c r="AK22" s="355"/>
      <c r="AL22" s="356" t="s">
        <v>4473</v>
      </c>
      <c r="AM22" s="355"/>
      <c r="AN22" s="355"/>
      <c r="AO22" s="355"/>
      <c r="AP22" s="355"/>
      <c r="AQ22" s="355"/>
      <c r="AR22" s="355"/>
      <c r="AS22" s="340"/>
      <c r="AT22" s="340"/>
      <c r="AU22" s="340"/>
      <c r="AV22" s="340"/>
      <c r="AW22" s="340"/>
      <c r="AX22" s="340"/>
      <c r="AY22" s="340"/>
      <c r="AZ22" s="340"/>
      <c r="BA22" s="340"/>
      <c r="BB22" s="340"/>
      <c r="BC22" s="340"/>
      <c r="BD22" s="341"/>
    </row>
    <row r="23" spans="1:56" s="344" customFormat="1" ht="30" customHeight="1" x14ac:dyDescent="0.25">
      <c r="A23" s="338"/>
      <c r="B23" s="338"/>
      <c r="C23" s="356"/>
      <c r="D23" s="355"/>
      <c r="E23" s="355"/>
      <c r="F23" s="355"/>
      <c r="G23" s="355"/>
      <c r="H23" s="355"/>
      <c r="I23" s="355"/>
      <c r="J23" s="355"/>
      <c r="K23" s="355"/>
      <c r="L23" s="355"/>
      <c r="M23" s="355"/>
      <c r="N23" s="355"/>
      <c r="O23" s="355"/>
      <c r="P23" s="355"/>
      <c r="Q23" s="355"/>
      <c r="R23" s="355"/>
      <c r="S23" s="355"/>
      <c r="T23" s="355"/>
      <c r="U23" s="355"/>
      <c r="V23" s="356"/>
      <c r="W23" s="355"/>
      <c r="X23" s="355"/>
      <c r="Y23" s="355"/>
      <c r="Z23" s="355"/>
      <c r="AA23" s="355"/>
      <c r="AB23" s="355"/>
      <c r="AC23" s="355"/>
      <c r="AD23" s="355"/>
      <c r="AE23" s="355"/>
      <c r="AF23" s="340"/>
      <c r="AG23" s="355"/>
      <c r="AH23" s="355"/>
      <c r="AI23" s="355"/>
      <c r="AJ23" s="355"/>
      <c r="AK23" s="355"/>
      <c r="AL23" s="356"/>
      <c r="AM23" s="355"/>
      <c r="AN23" s="355"/>
      <c r="AO23" s="355"/>
      <c r="AP23" s="355"/>
      <c r="AQ23" s="355"/>
      <c r="AR23" s="355"/>
      <c r="AS23" s="340"/>
      <c r="AT23" s="340"/>
      <c r="AU23" s="340"/>
      <c r="AV23" s="340"/>
      <c r="AW23" s="340"/>
      <c r="AX23" s="340"/>
      <c r="AY23" s="340"/>
      <c r="AZ23" s="340"/>
      <c r="BA23" s="340"/>
      <c r="BB23" s="340"/>
      <c r="BC23" s="340"/>
      <c r="BD23" s="341"/>
    </row>
    <row r="24" spans="1:56" s="344" customFormat="1" ht="30" customHeight="1" x14ac:dyDescent="0.25">
      <c r="A24" s="338"/>
      <c r="B24" s="338"/>
      <c r="C24" s="356" t="s">
        <v>4474</v>
      </c>
      <c r="D24" s="355"/>
      <c r="E24" s="355"/>
      <c r="F24" s="355"/>
      <c r="G24" s="355"/>
      <c r="H24" s="355"/>
      <c r="I24" s="355"/>
      <c r="J24" s="355"/>
      <c r="K24" s="355"/>
      <c r="L24" s="355"/>
      <c r="M24" s="355"/>
      <c r="N24" s="355"/>
      <c r="O24" s="355"/>
      <c r="P24" s="355"/>
      <c r="Q24" s="355"/>
      <c r="R24" s="355"/>
      <c r="S24" s="355"/>
      <c r="T24" s="355"/>
      <c r="U24" s="355"/>
      <c r="V24" s="356" t="s">
        <v>4475</v>
      </c>
      <c r="W24" s="355"/>
      <c r="X24" s="355"/>
      <c r="Y24" s="355"/>
      <c r="Z24" s="355"/>
      <c r="AA24" s="355"/>
      <c r="AB24" s="355"/>
      <c r="AC24" s="355"/>
      <c r="AD24" s="355"/>
      <c r="AE24" s="355"/>
      <c r="AF24" s="340"/>
      <c r="AG24" s="355"/>
      <c r="AH24" s="355"/>
      <c r="AI24" s="355"/>
      <c r="AJ24" s="355"/>
      <c r="AK24" s="355"/>
      <c r="AL24" s="356" t="s">
        <v>4476</v>
      </c>
      <c r="AM24" s="355"/>
      <c r="AN24" s="355"/>
      <c r="AO24" s="355"/>
      <c r="AP24" s="355"/>
      <c r="AQ24" s="355"/>
      <c r="AR24" s="355"/>
      <c r="AS24" s="340"/>
      <c r="AT24" s="340"/>
      <c r="AU24" s="340"/>
      <c r="AV24" s="340"/>
      <c r="AW24" s="340"/>
      <c r="AX24" s="340"/>
      <c r="AY24" s="340"/>
      <c r="AZ24" s="340"/>
      <c r="BA24" s="340"/>
      <c r="BB24" s="340"/>
      <c r="BC24" s="340"/>
      <c r="BD24" s="341"/>
    </row>
    <row r="25" spans="1:56" s="344" customFormat="1" ht="30" customHeight="1" x14ac:dyDescent="0.25">
      <c r="A25" s="338"/>
      <c r="B25" s="338"/>
      <c r="C25" s="356" t="s">
        <v>4477</v>
      </c>
      <c r="D25" s="355"/>
      <c r="E25" s="355"/>
      <c r="F25" s="355"/>
      <c r="G25" s="355"/>
      <c r="H25" s="355"/>
      <c r="I25" s="355"/>
      <c r="J25" s="355"/>
      <c r="K25" s="355"/>
      <c r="L25" s="355"/>
      <c r="M25" s="355"/>
      <c r="N25" s="355"/>
      <c r="O25" s="355"/>
      <c r="P25" s="355"/>
      <c r="Q25" s="355"/>
      <c r="R25" s="355"/>
      <c r="S25" s="355"/>
      <c r="T25" s="355"/>
      <c r="U25" s="355"/>
      <c r="V25" s="356" t="s">
        <v>4478</v>
      </c>
      <c r="W25" s="355"/>
      <c r="X25" s="355"/>
      <c r="Y25" s="355"/>
      <c r="Z25" s="355"/>
      <c r="AA25" s="355"/>
      <c r="AB25" s="355"/>
      <c r="AC25" s="355"/>
      <c r="AD25" s="355"/>
      <c r="AE25" s="355"/>
      <c r="AF25" s="340"/>
      <c r="AG25" s="355"/>
      <c r="AH25" s="355"/>
      <c r="AI25" s="355"/>
      <c r="AJ25" s="355"/>
      <c r="AK25" s="355"/>
      <c r="AL25" s="356" t="s">
        <v>4479</v>
      </c>
      <c r="AM25" s="355"/>
      <c r="AN25" s="355"/>
      <c r="AO25" s="355"/>
      <c r="AP25" s="355"/>
      <c r="AQ25" s="355"/>
      <c r="AR25" s="355"/>
      <c r="AS25" s="340"/>
      <c r="AT25" s="340"/>
      <c r="AU25" s="340"/>
      <c r="AV25" s="340"/>
      <c r="AW25" s="340"/>
      <c r="AX25" s="340"/>
      <c r="AY25" s="340"/>
      <c r="AZ25" s="340"/>
      <c r="BA25" s="340"/>
      <c r="BB25" s="340"/>
      <c r="BC25" s="340"/>
      <c r="BD25" s="341"/>
    </row>
    <row r="26" spans="1:56" s="344" customFormat="1" ht="30" customHeight="1" x14ac:dyDescent="0.25">
      <c r="A26" s="338"/>
      <c r="B26" s="338"/>
      <c r="C26" s="356"/>
      <c r="D26" s="355"/>
      <c r="E26" s="355"/>
      <c r="F26" s="355"/>
      <c r="G26" s="355"/>
      <c r="H26" s="355"/>
      <c r="I26" s="355"/>
      <c r="J26" s="355"/>
      <c r="K26" s="355"/>
      <c r="L26" s="355"/>
      <c r="M26" s="355"/>
      <c r="N26" s="355"/>
      <c r="O26" s="355"/>
      <c r="P26" s="355"/>
      <c r="Q26" s="355"/>
      <c r="R26" s="355"/>
      <c r="S26" s="355"/>
      <c r="T26" s="355"/>
      <c r="U26" s="355"/>
      <c r="V26" s="353"/>
      <c r="W26" s="355"/>
      <c r="X26" s="355"/>
      <c r="Y26" s="355"/>
      <c r="Z26" s="355"/>
      <c r="AA26" s="355"/>
      <c r="AB26" s="355"/>
      <c r="AC26" s="355"/>
      <c r="AD26" s="355"/>
      <c r="AE26" s="355"/>
      <c r="AF26" s="340"/>
      <c r="AG26" s="355"/>
      <c r="AH26" s="355"/>
      <c r="AI26" s="355"/>
      <c r="AJ26" s="355"/>
      <c r="AK26" s="355"/>
      <c r="AL26" s="353"/>
      <c r="AM26" s="355"/>
      <c r="AN26" s="355"/>
      <c r="AO26" s="355"/>
      <c r="AP26" s="355"/>
      <c r="AQ26" s="355"/>
      <c r="AR26" s="355"/>
      <c r="AS26" s="340"/>
      <c r="AT26" s="340"/>
      <c r="AU26" s="340"/>
      <c r="AV26" s="340"/>
      <c r="AW26" s="340"/>
      <c r="AX26" s="340"/>
      <c r="AY26" s="340"/>
      <c r="AZ26" s="340"/>
      <c r="BA26" s="340"/>
      <c r="BB26" s="340"/>
      <c r="BC26" s="340"/>
      <c r="BD26" s="341"/>
    </row>
    <row r="27" spans="1:56" s="344" customFormat="1" ht="30" customHeight="1" x14ac:dyDescent="0.25">
      <c r="A27" s="338"/>
      <c r="B27" s="338"/>
      <c r="C27" s="353" t="s">
        <v>4480</v>
      </c>
      <c r="D27" s="355"/>
      <c r="E27" s="355"/>
      <c r="F27" s="355"/>
      <c r="G27" s="355"/>
      <c r="H27" s="355"/>
      <c r="I27" s="355"/>
      <c r="J27" s="355"/>
      <c r="K27" s="355"/>
      <c r="L27" s="355"/>
      <c r="M27" s="355"/>
      <c r="N27" s="355"/>
      <c r="O27" s="355"/>
      <c r="P27" s="355"/>
      <c r="Q27" s="355"/>
      <c r="R27" s="355"/>
      <c r="S27" s="355"/>
      <c r="T27" s="355"/>
      <c r="U27" s="355"/>
      <c r="V27" s="353" t="s">
        <v>4481</v>
      </c>
      <c r="W27" s="355"/>
      <c r="X27" s="355"/>
      <c r="Y27" s="355"/>
      <c r="Z27" s="355"/>
      <c r="AA27" s="355"/>
      <c r="AB27" s="355"/>
      <c r="AC27" s="355"/>
      <c r="AD27" s="355"/>
      <c r="AE27" s="355"/>
      <c r="AF27" s="340"/>
      <c r="AG27" s="355"/>
      <c r="AH27" s="355"/>
      <c r="AI27" s="355"/>
      <c r="AJ27" s="355"/>
      <c r="AK27" s="355"/>
      <c r="AL27" s="353" t="s">
        <v>4482</v>
      </c>
      <c r="AM27" s="355"/>
      <c r="AN27" s="355"/>
      <c r="AO27" s="355"/>
      <c r="AP27" s="355"/>
      <c r="AQ27" s="355"/>
      <c r="AR27" s="355"/>
      <c r="AS27" s="340"/>
      <c r="AT27" s="340"/>
      <c r="AU27" s="340"/>
      <c r="AV27" s="340"/>
      <c r="AW27" s="340"/>
      <c r="AX27" s="340"/>
      <c r="AY27" s="340"/>
      <c r="AZ27" s="340"/>
      <c r="BA27" s="340"/>
      <c r="BB27" s="340"/>
      <c r="BC27" s="340"/>
      <c r="BD27" s="341">
        <v>1</v>
      </c>
    </row>
    <row r="28" spans="1:56" s="344" customFormat="1" ht="30" customHeight="1" x14ac:dyDescent="0.25">
      <c r="A28" s="338"/>
      <c r="B28" s="338"/>
      <c r="C28" s="353"/>
      <c r="D28" s="355"/>
      <c r="E28" s="355"/>
      <c r="F28" s="355"/>
      <c r="G28" s="355"/>
      <c r="H28" s="355"/>
      <c r="I28" s="355"/>
      <c r="J28" s="355"/>
      <c r="K28" s="355"/>
      <c r="L28" s="355"/>
      <c r="M28" s="355"/>
      <c r="N28" s="355"/>
      <c r="O28" s="355"/>
      <c r="P28" s="355"/>
      <c r="Q28" s="355"/>
      <c r="R28" s="355"/>
      <c r="S28" s="355"/>
      <c r="T28" s="355"/>
      <c r="U28" s="355"/>
      <c r="V28" s="353"/>
      <c r="W28" s="355"/>
      <c r="X28" s="355"/>
      <c r="Y28" s="355"/>
      <c r="Z28" s="355"/>
      <c r="AA28" s="355"/>
      <c r="AB28" s="355"/>
      <c r="AC28" s="355"/>
      <c r="AD28" s="355"/>
      <c r="AE28" s="355"/>
      <c r="AF28" s="340"/>
      <c r="AG28" s="355"/>
      <c r="AH28" s="355"/>
      <c r="AI28" s="355"/>
      <c r="AJ28" s="355"/>
      <c r="AK28" s="355"/>
      <c r="AL28" s="353"/>
      <c r="AM28" s="355"/>
      <c r="AN28" s="355"/>
      <c r="AO28" s="355"/>
      <c r="AP28" s="355"/>
      <c r="AQ28" s="355"/>
      <c r="AR28" s="355"/>
      <c r="AS28" s="340"/>
      <c r="AT28" s="340"/>
      <c r="AU28" s="340"/>
      <c r="AV28" s="340"/>
      <c r="AW28" s="340"/>
      <c r="AX28" s="340"/>
      <c r="AY28" s="340"/>
      <c r="AZ28" s="340"/>
      <c r="BA28" s="340"/>
      <c r="BB28" s="340"/>
      <c r="BC28" s="340"/>
      <c r="BD28" s="341">
        <v>1</v>
      </c>
    </row>
    <row r="29" spans="1:56" s="344" customFormat="1" ht="21" customHeight="1" x14ac:dyDescent="0.25">
      <c r="A29" s="338"/>
      <c r="B29" s="338"/>
      <c r="C29" s="357" t="s">
        <v>4483</v>
      </c>
      <c r="D29" s="358" t="str">
        <f ca="1">CELL("nomfichier")</f>
        <v>D:\Téléchargement\[mode.emploi.2_EXPLIQUE_MODE_EMPLOI_SANS_FORMULES_PARTAGEES.xlsx]Mode_d_emploi.Plan.Protéines</v>
      </c>
      <c r="E29" s="355"/>
      <c r="F29" s="355"/>
      <c r="G29" s="355"/>
      <c r="H29" s="355"/>
      <c r="I29" s="355"/>
      <c r="J29" s="355"/>
      <c r="K29" s="355"/>
      <c r="L29" s="355"/>
      <c r="M29" s="355"/>
      <c r="N29" s="355"/>
      <c r="O29" s="355"/>
      <c r="P29" s="355"/>
      <c r="Q29" s="355"/>
      <c r="R29" s="355"/>
      <c r="S29" s="355"/>
      <c r="T29" s="355"/>
      <c r="U29" s="355"/>
      <c r="V29" s="353"/>
      <c r="W29" s="355"/>
      <c r="X29" s="355"/>
      <c r="Y29" s="355"/>
      <c r="Z29" s="355"/>
      <c r="AA29" s="355"/>
      <c r="AB29" s="355"/>
      <c r="AC29" s="355"/>
      <c r="AD29" s="355"/>
      <c r="AE29" s="355"/>
      <c r="AF29" s="340"/>
      <c r="AG29" s="355"/>
      <c r="AH29" s="355"/>
      <c r="AI29" s="355"/>
      <c r="AJ29" s="355"/>
      <c r="AK29" s="355"/>
      <c r="AL29" s="353"/>
      <c r="AM29" s="355"/>
      <c r="AN29" s="355"/>
      <c r="AO29" s="355"/>
      <c r="AP29" s="355"/>
      <c r="AQ29" s="355"/>
      <c r="AR29" s="355"/>
      <c r="AS29" s="340"/>
      <c r="AT29" s="340"/>
      <c r="AU29" s="340"/>
      <c r="AV29" s="340"/>
      <c r="AW29" s="340"/>
      <c r="AX29" s="340"/>
      <c r="AY29" s="340"/>
      <c r="AZ29" s="340"/>
      <c r="BA29" s="340"/>
      <c r="BB29" s="340"/>
      <c r="BC29" s="340"/>
      <c r="BD29" s="341">
        <v>1</v>
      </c>
    </row>
    <row r="30" spans="1:56" s="344" customFormat="1" ht="21" customHeight="1" x14ac:dyDescent="0.25">
      <c r="A30" s="338"/>
      <c r="B30" s="338"/>
      <c r="C30" s="358"/>
      <c r="D30" s="358"/>
      <c r="E30" s="355"/>
      <c r="F30" s="355"/>
      <c r="G30" s="355"/>
      <c r="H30" s="355"/>
      <c r="I30" s="355"/>
      <c r="J30" s="355"/>
      <c r="K30" s="355"/>
      <c r="L30" s="355"/>
      <c r="M30" s="355"/>
      <c r="N30" s="355"/>
      <c r="O30" s="355"/>
      <c r="P30" s="355"/>
      <c r="Q30" s="355"/>
      <c r="R30" s="355"/>
      <c r="S30" s="355"/>
      <c r="T30" s="355"/>
      <c r="U30" s="355"/>
      <c r="V30" s="356"/>
      <c r="W30" s="355"/>
      <c r="X30" s="355"/>
      <c r="Y30" s="355"/>
      <c r="Z30" s="355"/>
      <c r="AA30" s="355"/>
      <c r="AB30" s="355"/>
      <c r="AC30" s="355"/>
      <c r="AD30" s="355"/>
      <c r="AE30" s="355"/>
      <c r="AF30" s="340"/>
      <c r="AG30" s="355"/>
      <c r="AH30" s="355"/>
      <c r="AI30" s="355"/>
      <c r="AJ30" s="355"/>
      <c r="AK30" s="355"/>
      <c r="AL30" s="356"/>
      <c r="AM30" s="355"/>
      <c r="AN30" s="355"/>
      <c r="AO30" s="355"/>
      <c r="AP30" s="355"/>
      <c r="AQ30" s="355"/>
      <c r="AR30" s="355"/>
      <c r="AS30" s="340"/>
      <c r="AT30" s="340"/>
      <c r="AU30" s="340"/>
      <c r="AV30" s="340"/>
      <c r="AW30" s="340"/>
      <c r="AX30" s="340"/>
      <c r="AY30" s="340"/>
      <c r="AZ30" s="340"/>
      <c r="BA30" s="340"/>
      <c r="BB30" s="340"/>
      <c r="BC30" s="340"/>
      <c r="BD30" s="341">
        <v>1</v>
      </c>
    </row>
    <row r="31" spans="1:56" s="344" customFormat="1" ht="21" customHeight="1" x14ac:dyDescent="0.25">
      <c r="A31" s="338"/>
      <c r="B31" s="338"/>
      <c r="C31" s="359"/>
      <c r="D31" s="358"/>
      <c r="E31" s="355"/>
      <c r="F31" s="355"/>
      <c r="G31" s="355"/>
      <c r="H31" s="355"/>
      <c r="I31" s="360" t="s">
        <v>4484</v>
      </c>
      <c r="J31" s="361" t="s">
        <v>4485</v>
      </c>
      <c r="K31" s="355"/>
      <c r="L31" s="355"/>
      <c r="M31" s="355"/>
      <c r="N31" s="355"/>
      <c r="O31" s="355"/>
      <c r="P31" s="355"/>
      <c r="Q31" s="355"/>
      <c r="R31" s="355"/>
      <c r="S31" s="355"/>
      <c r="T31" s="355"/>
      <c r="U31" s="355"/>
      <c r="V31" s="353"/>
      <c r="W31" s="355"/>
      <c r="X31" s="355"/>
      <c r="Y31" s="355"/>
      <c r="Z31" s="355"/>
      <c r="AA31" s="355"/>
      <c r="AB31" s="355"/>
      <c r="AC31" s="355"/>
      <c r="AD31" s="355"/>
      <c r="AE31" s="355"/>
      <c r="AF31" s="340"/>
      <c r="AG31" s="355"/>
      <c r="AH31" s="355"/>
      <c r="AI31" s="355"/>
      <c r="AJ31" s="355"/>
      <c r="AK31" s="355"/>
      <c r="AL31" s="353"/>
      <c r="AM31" s="355"/>
      <c r="AN31" s="355"/>
      <c r="AO31" s="355"/>
      <c r="AP31" s="355"/>
      <c r="AQ31" s="355"/>
      <c r="AR31" s="355"/>
      <c r="AS31" s="340"/>
      <c r="AT31" s="340"/>
      <c r="AU31" s="340"/>
      <c r="AV31" s="340"/>
      <c r="AW31" s="340"/>
      <c r="AX31" s="340"/>
      <c r="AY31" s="340"/>
      <c r="AZ31" s="340"/>
      <c r="BA31" s="340"/>
      <c r="BB31" s="340"/>
      <c r="BC31" s="340"/>
      <c r="BD31" s="341">
        <v>1</v>
      </c>
    </row>
    <row r="32" spans="1:56" s="344" customFormat="1" ht="21" customHeight="1" x14ac:dyDescent="0.25">
      <c r="A32" s="338"/>
      <c r="B32" s="338"/>
      <c r="C32" s="358"/>
      <c r="D32" s="358"/>
      <c r="E32" s="355"/>
      <c r="F32" s="355"/>
      <c r="G32" s="355"/>
      <c r="H32" s="355"/>
      <c r="I32" s="355"/>
      <c r="J32" s="355"/>
      <c r="K32" s="355"/>
      <c r="L32" s="355"/>
      <c r="M32" s="355"/>
      <c r="N32" s="355"/>
      <c r="O32" s="355"/>
      <c r="P32" s="355"/>
      <c r="Q32" s="355"/>
      <c r="R32" s="355"/>
      <c r="S32" s="355"/>
      <c r="T32" s="355"/>
      <c r="U32" s="355"/>
      <c r="V32" s="353"/>
      <c r="W32" s="355"/>
      <c r="X32" s="355"/>
      <c r="Y32" s="355"/>
      <c r="Z32" s="355"/>
      <c r="AA32" s="355"/>
      <c r="AB32" s="355"/>
      <c r="AC32" s="355"/>
      <c r="AD32" s="355"/>
      <c r="AE32" s="355"/>
      <c r="AF32" s="340"/>
      <c r="AG32" s="355"/>
      <c r="AH32" s="355"/>
      <c r="AI32" s="355"/>
      <c r="AJ32" s="355"/>
      <c r="AK32" s="355"/>
      <c r="AL32" s="353"/>
      <c r="AM32" s="355"/>
      <c r="AN32" s="355"/>
      <c r="AO32" s="355"/>
      <c r="AP32" s="355"/>
      <c r="AQ32" s="355"/>
      <c r="AR32" s="355"/>
      <c r="AS32" s="340"/>
      <c r="AT32" s="340"/>
      <c r="AU32" s="340"/>
      <c r="AV32" s="340"/>
      <c r="AW32" s="340"/>
      <c r="AX32" s="340"/>
      <c r="AY32" s="340"/>
      <c r="AZ32" s="340"/>
      <c r="BA32" s="340"/>
      <c r="BB32" s="340"/>
      <c r="BC32" s="340"/>
      <c r="BD32" s="341">
        <v>1</v>
      </c>
    </row>
    <row r="33" spans="1:58" s="344" customFormat="1" ht="21" customHeight="1" x14ac:dyDescent="0.25">
      <c r="A33" s="338">
        <v>1</v>
      </c>
      <c r="B33" s="338"/>
      <c r="C33" s="353" t="s">
        <v>4486</v>
      </c>
      <c r="D33" s="355"/>
      <c r="E33" s="355"/>
      <c r="F33" s="355"/>
      <c r="G33" s="355"/>
      <c r="H33" s="355"/>
      <c r="I33" s="355"/>
      <c r="J33" s="355"/>
      <c r="K33" s="355"/>
      <c r="L33" s="355"/>
      <c r="M33" s="355"/>
      <c r="N33" s="355"/>
      <c r="O33" s="355"/>
      <c r="P33" s="355"/>
      <c r="Q33" s="355"/>
      <c r="R33" s="355"/>
      <c r="S33" s="355"/>
      <c r="T33" s="355"/>
      <c r="U33" s="355"/>
      <c r="V33" s="353"/>
      <c r="W33" s="355"/>
      <c r="X33" s="355"/>
      <c r="Y33" s="355"/>
      <c r="Z33" s="355"/>
      <c r="AA33" s="355"/>
      <c r="AB33" s="355"/>
      <c r="AC33" s="355"/>
      <c r="AD33" s="355"/>
      <c r="AE33" s="355"/>
      <c r="AF33" s="340"/>
      <c r="AG33" s="355"/>
      <c r="AH33" s="355"/>
      <c r="AI33" s="355"/>
      <c r="AJ33" s="355"/>
      <c r="AK33" s="355"/>
      <c r="AL33" s="353"/>
      <c r="AM33" s="355"/>
      <c r="AN33" s="355"/>
      <c r="AO33" s="355"/>
      <c r="AP33" s="355"/>
      <c r="AQ33" s="355"/>
      <c r="AR33" s="355"/>
      <c r="AS33" s="340"/>
      <c r="AT33" s="340"/>
      <c r="AU33" s="340"/>
      <c r="AV33" s="340"/>
      <c r="AW33" s="340"/>
      <c r="AX33" s="340"/>
      <c r="AY33" s="340"/>
      <c r="AZ33" s="340"/>
      <c r="BA33" s="340"/>
      <c r="BB33" s="340"/>
      <c r="BC33" s="340"/>
      <c r="BD33" s="341">
        <v>1</v>
      </c>
    </row>
    <row r="34" spans="1:58" s="344" customFormat="1" ht="21" customHeight="1" x14ac:dyDescent="0.25">
      <c r="A34" s="338"/>
      <c r="B34" s="338"/>
      <c r="C34" s="353"/>
      <c r="D34" s="353" t="s">
        <v>4487</v>
      </c>
      <c r="E34" s="355"/>
      <c r="F34" s="355"/>
      <c r="G34" s="355"/>
      <c r="H34" s="355"/>
      <c r="I34" s="355"/>
      <c r="J34" s="355"/>
      <c r="K34" s="355"/>
      <c r="L34" s="355"/>
      <c r="M34" s="355"/>
      <c r="N34" s="355"/>
      <c r="O34" s="355"/>
      <c r="P34" s="355"/>
      <c r="Q34" s="355"/>
      <c r="R34" s="355"/>
      <c r="S34" s="355"/>
      <c r="T34" s="355"/>
      <c r="U34" s="355"/>
      <c r="V34" s="353"/>
      <c r="W34" s="355"/>
      <c r="X34" s="355"/>
      <c r="Y34" s="355"/>
      <c r="Z34" s="355"/>
      <c r="AA34" s="355"/>
      <c r="AB34" s="355"/>
      <c r="AC34" s="355"/>
      <c r="AD34" s="355"/>
      <c r="AE34" s="355"/>
      <c r="AF34" s="340"/>
      <c r="AG34" s="355"/>
      <c r="AH34" s="355"/>
      <c r="AI34" s="355"/>
      <c r="AJ34" s="355"/>
      <c r="AK34" s="355"/>
      <c r="AL34" s="353"/>
      <c r="AM34" s="355"/>
      <c r="AN34" s="355"/>
      <c r="AO34" s="355"/>
      <c r="AP34" s="355"/>
      <c r="AQ34" s="355"/>
      <c r="AR34" s="355"/>
      <c r="AS34" s="340"/>
      <c r="AT34" s="340"/>
      <c r="AU34" s="340"/>
      <c r="AV34" s="340"/>
      <c r="AW34" s="340"/>
      <c r="AX34" s="340"/>
      <c r="AY34" s="340"/>
      <c r="AZ34" s="340"/>
      <c r="BA34" s="340"/>
      <c r="BB34" s="340"/>
      <c r="BC34" s="340"/>
      <c r="BD34" s="341">
        <v>1</v>
      </c>
    </row>
    <row r="35" spans="1:58" ht="21" customHeight="1" x14ac:dyDescent="0.35">
      <c r="A35" s="338">
        <v>1</v>
      </c>
      <c r="B35" s="338">
        <v>1</v>
      </c>
      <c r="C35" s="362" t="s">
        <v>4488</v>
      </c>
      <c r="D35" s="338"/>
      <c r="E35" s="338"/>
      <c r="F35" s="338"/>
      <c r="G35" s="338"/>
      <c r="H35" s="338"/>
      <c r="I35" s="338"/>
      <c r="J35" s="338"/>
      <c r="K35" s="338"/>
      <c r="L35" s="338"/>
      <c r="M35" s="338"/>
      <c r="N35" s="338"/>
      <c r="O35" s="338"/>
      <c r="P35" s="338"/>
      <c r="Q35" s="338"/>
      <c r="R35" s="338">
        <v>1</v>
      </c>
      <c r="S35" s="338">
        <v>1</v>
      </c>
      <c r="T35" s="338"/>
      <c r="U35" s="338"/>
      <c r="V35" s="977"/>
      <c r="W35" s="977"/>
      <c r="X35" s="977"/>
      <c r="Y35" s="977"/>
      <c r="Z35" s="355"/>
      <c r="AA35" s="355"/>
      <c r="AB35" s="355"/>
      <c r="AC35" s="355"/>
      <c r="AD35" s="355"/>
      <c r="AE35" s="355"/>
      <c r="AF35" s="340"/>
      <c r="AG35" s="355"/>
      <c r="AH35" s="355"/>
      <c r="AI35" s="355"/>
      <c r="AJ35" s="355"/>
      <c r="AK35" s="355"/>
      <c r="AL35" s="977"/>
      <c r="AM35" s="977"/>
      <c r="AN35" s="977"/>
      <c r="AO35" s="977"/>
      <c r="AP35" s="355"/>
      <c r="AQ35" s="355"/>
      <c r="AR35" s="355"/>
      <c r="AS35" s="363"/>
      <c r="AT35" s="363"/>
      <c r="AU35" s="363"/>
      <c r="AV35" s="363"/>
      <c r="AW35" s="363"/>
      <c r="AX35" s="363"/>
      <c r="AY35" s="363"/>
      <c r="AZ35" s="363"/>
      <c r="BA35" s="363"/>
      <c r="BB35" s="363"/>
      <c r="BC35" s="363"/>
      <c r="BD35" s="341">
        <v>1</v>
      </c>
      <c r="BE35" s="344"/>
      <c r="BF35" s="344"/>
    </row>
    <row r="36" spans="1:58" ht="21" customHeight="1" x14ac:dyDescent="0.35">
      <c r="A36" s="338"/>
      <c r="B36" s="338"/>
      <c r="C36" s="362" t="s">
        <v>4489</v>
      </c>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41">
        <v>1</v>
      </c>
      <c r="BE36" s="344"/>
      <c r="BF36" s="344"/>
    </row>
    <row r="37" spans="1:58" ht="21" customHeight="1" x14ac:dyDescent="0.35">
      <c r="A37" s="338"/>
      <c r="B37" s="338"/>
      <c r="C37" s="362" t="s">
        <v>4490</v>
      </c>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c r="AX37" s="338"/>
      <c r="AY37" s="338"/>
      <c r="AZ37" s="338"/>
      <c r="BA37" s="338"/>
      <c r="BB37" s="338"/>
      <c r="BC37" s="338"/>
      <c r="BD37" s="341">
        <v>1</v>
      </c>
      <c r="BE37" s="344"/>
      <c r="BF37" s="344"/>
    </row>
    <row r="38" spans="1:58" ht="21" customHeight="1" x14ac:dyDescent="0.25">
      <c r="A38" s="338"/>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8"/>
      <c r="BA38" s="338"/>
      <c r="BB38" s="338"/>
      <c r="BC38" s="338"/>
      <c r="BD38" s="341">
        <v>1</v>
      </c>
      <c r="BE38" s="344"/>
      <c r="BF38" s="344"/>
    </row>
    <row r="39" spans="1:58" ht="21" customHeight="1" x14ac:dyDescent="0.25">
      <c r="B39" s="365" t="s">
        <v>4491</v>
      </c>
      <c r="C39" s="366" t="s">
        <v>4492</v>
      </c>
      <c r="F39" s="366"/>
      <c r="G39" s="366"/>
      <c r="H39" s="366"/>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c r="BC39" s="338"/>
      <c r="BD39" s="341">
        <v>1</v>
      </c>
      <c r="BE39" s="344"/>
      <c r="BF39" s="344"/>
    </row>
    <row r="40" spans="1:58" ht="21" customHeight="1" thickBot="1" x14ac:dyDescent="0.3">
      <c r="B40" s="338">
        <v>1</v>
      </c>
      <c r="C40" s="338">
        <v>1</v>
      </c>
      <c r="D40" s="338">
        <v>1</v>
      </c>
      <c r="E40" s="338">
        <v>1</v>
      </c>
      <c r="F40" s="338">
        <v>1</v>
      </c>
      <c r="G40" s="338">
        <v>1</v>
      </c>
      <c r="H40" s="338">
        <v>1</v>
      </c>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41">
        <v>1</v>
      </c>
      <c r="BE40" s="344"/>
      <c r="BF40" s="344"/>
    </row>
    <row r="41" spans="1:58" ht="21" customHeight="1" x14ac:dyDescent="0.25">
      <c r="B41" s="944" t="s">
        <v>4491</v>
      </c>
      <c r="C41" s="978" t="s">
        <v>4493</v>
      </c>
      <c r="D41" s="978"/>
      <c r="E41" s="978"/>
      <c r="F41" s="978"/>
      <c r="G41" s="978"/>
      <c r="H41" s="979"/>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8"/>
      <c r="AY41" s="338"/>
      <c r="AZ41" s="338"/>
      <c r="BA41" s="338"/>
      <c r="BB41" s="338"/>
      <c r="BC41" s="338"/>
      <c r="BD41" s="341">
        <v>1</v>
      </c>
      <c r="BE41" s="344"/>
      <c r="BF41" s="344"/>
    </row>
    <row r="42" spans="1:58" ht="21" customHeight="1" x14ac:dyDescent="0.25">
      <c r="B42" s="945"/>
      <c r="D42" s="363"/>
      <c r="E42" s="363"/>
      <c r="F42" s="363"/>
      <c r="G42" s="363"/>
      <c r="H42" s="368"/>
      <c r="I42" s="338"/>
      <c r="J42" s="338"/>
      <c r="K42" s="338"/>
      <c r="L42" s="338"/>
      <c r="M42" s="338"/>
      <c r="N42" s="369" t="s">
        <v>4494</v>
      </c>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338"/>
      <c r="BD42" s="341">
        <v>1</v>
      </c>
      <c r="BE42" s="344"/>
      <c r="BF42" s="344"/>
    </row>
    <row r="43" spans="1:58" ht="21" customHeight="1" x14ac:dyDescent="0.25">
      <c r="B43" s="980" t="str">
        <f>C41</f>
        <v>Quelques liens hypertexte internes exemple de formules</v>
      </c>
      <c r="C43" s="370" t="str">
        <f>ADDRESS(ROW(),COLUMN(),4)</f>
        <v>C43</v>
      </c>
      <c r="D43" s="371" t="str">
        <f>_xlfn.UNICHAR(128269)</f>
        <v>🔍</v>
      </c>
      <c r="E43" s="363" t="str">
        <f ca="1">_xlfn.FORMULATEXT(D43)</f>
        <v>=UNICAR(128269)</v>
      </c>
      <c r="F43" s="363"/>
      <c r="G43" s="363"/>
      <c r="H43" s="368"/>
      <c r="I43" s="338"/>
      <c r="J43" s="338">
        <v>1</v>
      </c>
      <c r="K43" s="338"/>
      <c r="L43" s="338"/>
      <c r="M43" s="338"/>
      <c r="N43" s="369" t="s">
        <v>4495</v>
      </c>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38"/>
      <c r="AW43" s="338"/>
      <c r="AX43" s="338"/>
      <c r="AY43" s="338"/>
      <c r="AZ43" s="338"/>
      <c r="BA43" s="338"/>
      <c r="BB43" s="338"/>
      <c r="BC43" s="338"/>
      <c r="BD43" s="341">
        <v>1</v>
      </c>
      <c r="BE43" s="344"/>
      <c r="BF43" s="344"/>
    </row>
    <row r="44" spans="1:58" ht="21" customHeight="1" x14ac:dyDescent="0.25">
      <c r="B44" s="980"/>
      <c r="C44" s="363" t="s">
        <v>4496</v>
      </c>
      <c r="D44" s="371"/>
      <c r="E44" s="363"/>
      <c r="F44" s="363"/>
      <c r="G44" s="363"/>
      <c r="H44" s="368"/>
      <c r="I44" s="338"/>
      <c r="J44" s="338">
        <v>1</v>
      </c>
      <c r="K44" s="338"/>
      <c r="L44" s="338"/>
      <c r="M44" s="338"/>
      <c r="N44" s="369" t="s">
        <v>4497</v>
      </c>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T44" s="338"/>
      <c r="AU44" s="338"/>
      <c r="AV44" s="338"/>
      <c r="AW44" s="338"/>
      <c r="AX44" s="338"/>
      <c r="AY44" s="338"/>
      <c r="AZ44" s="338"/>
      <c r="BA44" s="338"/>
      <c r="BB44" s="338"/>
      <c r="BC44" s="338"/>
      <c r="BD44" s="341">
        <v>1</v>
      </c>
      <c r="BE44" s="344"/>
      <c r="BF44" s="344"/>
    </row>
    <row r="45" spans="1:58" ht="21" customHeight="1" x14ac:dyDescent="0.25">
      <c r="B45" s="980"/>
      <c r="C45" s="363" t="s">
        <v>4498</v>
      </c>
      <c r="D45" s="371"/>
      <c r="E45" s="363"/>
      <c r="F45" s="363"/>
      <c r="G45" s="363"/>
      <c r="H45" s="368"/>
      <c r="I45" s="338"/>
      <c r="J45" s="338">
        <v>1</v>
      </c>
      <c r="K45" s="338"/>
      <c r="L45" s="338"/>
      <c r="M45" s="338"/>
      <c r="N45" s="372" t="s">
        <v>4499</v>
      </c>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41">
        <v>1</v>
      </c>
      <c r="BE45" s="344"/>
      <c r="BF45" s="344"/>
    </row>
    <row r="46" spans="1:58" ht="21" customHeight="1" x14ac:dyDescent="0.25">
      <c r="B46" s="980"/>
      <c r="C46" s="373" t="s">
        <v>4500</v>
      </c>
      <c r="D46" s="371"/>
      <c r="E46" s="363"/>
      <c r="F46" s="363"/>
      <c r="G46" s="363"/>
      <c r="H46" s="368"/>
      <c r="I46" s="338"/>
      <c r="J46" s="338">
        <v>1</v>
      </c>
      <c r="K46" s="338"/>
      <c r="L46" s="338"/>
      <c r="M46" s="338"/>
      <c r="N46" s="369" t="s">
        <v>4501</v>
      </c>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c r="AO46" s="338"/>
      <c r="AP46" s="338"/>
      <c r="AQ46" s="338"/>
      <c r="AR46" s="338"/>
      <c r="AS46" s="338"/>
      <c r="AT46" s="338"/>
      <c r="AU46" s="338"/>
      <c r="AV46" s="338"/>
      <c r="AW46" s="338"/>
      <c r="AX46" s="338"/>
      <c r="AY46" s="338"/>
      <c r="AZ46" s="338"/>
      <c r="BA46" s="338"/>
      <c r="BB46" s="338"/>
      <c r="BC46" s="338"/>
      <c r="BD46" s="341">
        <v>1</v>
      </c>
      <c r="BE46" s="344"/>
      <c r="BF46" s="344"/>
    </row>
    <row r="47" spans="1:58" ht="21" customHeight="1" x14ac:dyDescent="0.25">
      <c r="B47" s="980"/>
      <c r="C47" s="373"/>
      <c r="D47" s="371"/>
      <c r="E47" s="363"/>
      <c r="F47" s="363"/>
      <c r="G47" s="363"/>
      <c r="H47" s="368"/>
      <c r="I47" s="338"/>
      <c r="J47" s="338">
        <v>1</v>
      </c>
      <c r="K47" s="338"/>
      <c r="L47" s="338"/>
      <c r="M47" s="338"/>
      <c r="N47" s="369" t="s">
        <v>4502</v>
      </c>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41">
        <v>1</v>
      </c>
      <c r="BE47" s="344"/>
      <c r="BF47" s="344"/>
    </row>
    <row r="48" spans="1:58" ht="21" customHeight="1" x14ac:dyDescent="0.25">
      <c r="B48" s="980"/>
      <c r="C48" s="982" t="s">
        <v>4503</v>
      </c>
      <c r="D48" s="982"/>
      <c r="E48" s="982"/>
      <c r="F48" s="982"/>
      <c r="G48" s="982"/>
      <c r="H48" s="983"/>
      <c r="I48" s="338"/>
      <c r="J48" s="338">
        <v>1</v>
      </c>
      <c r="K48" s="338">
        <v>1</v>
      </c>
      <c r="L48" s="338">
        <v>1</v>
      </c>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41">
        <v>1</v>
      </c>
      <c r="BE48" s="344"/>
      <c r="BF48" s="344"/>
    </row>
    <row r="49" spans="2:58" ht="21" customHeight="1" x14ac:dyDescent="0.25">
      <c r="B49" s="980"/>
      <c r="C49" s="982"/>
      <c r="D49" s="982"/>
      <c r="E49" s="982"/>
      <c r="F49" s="982"/>
      <c r="G49" s="982"/>
      <c r="H49" s="983"/>
      <c r="I49" s="338"/>
      <c r="J49" s="338">
        <v>1</v>
      </c>
      <c r="K49" s="338">
        <v>1</v>
      </c>
      <c r="L49" s="338">
        <v>1</v>
      </c>
      <c r="M49" s="338"/>
      <c r="N49" s="374" t="s">
        <v>4504</v>
      </c>
      <c r="O49" s="375"/>
      <c r="P49" s="376" t="s">
        <v>4505</v>
      </c>
      <c r="Q49" s="375"/>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41">
        <v>1</v>
      </c>
      <c r="BE49" s="344"/>
      <c r="BF49" s="344"/>
    </row>
    <row r="50" spans="2:58" ht="21" customHeight="1" x14ac:dyDescent="0.25">
      <c r="B50" s="980"/>
      <c r="C50" s="377" t="s">
        <v>4506</v>
      </c>
      <c r="D50" s="363"/>
      <c r="E50" s="363" t="s">
        <v>4507</v>
      </c>
      <c r="F50" s="363"/>
      <c r="G50" s="363"/>
      <c r="H50" s="368"/>
      <c r="I50" s="338"/>
      <c r="J50" s="338">
        <v>1</v>
      </c>
      <c r="K50" s="338">
        <v>1</v>
      </c>
      <c r="L50" s="338">
        <v>1</v>
      </c>
      <c r="M50" s="338"/>
      <c r="N50" s="378" t="s">
        <v>4508</v>
      </c>
      <c r="O50" s="378" t="s">
        <v>4509</v>
      </c>
      <c r="P50" s="378" t="s">
        <v>4510</v>
      </c>
      <c r="Q50" s="375" t="s">
        <v>4511</v>
      </c>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41">
        <v>1</v>
      </c>
    </row>
    <row r="51" spans="2:58" ht="21" customHeight="1" x14ac:dyDescent="0.25">
      <c r="B51" s="980"/>
      <c r="C51" s="379" t="str">
        <f>HYPERLINK("#"&amp;ADDRESS(ROW(C43),COLUMN(C43),4))</f>
        <v>#C43</v>
      </c>
      <c r="D51" s="380" t="str">
        <f ca="1">_xlfn.FORMULATEXT(C51)</f>
        <v>=LIEN_HYPERTEXTE("#"&amp;ADRESSE(LIGNE(C43);COLONNE(C43);4))</v>
      </c>
      <c r="E51" s="380"/>
      <c r="F51" s="380"/>
      <c r="G51" s="380"/>
      <c r="H51" s="381"/>
      <c r="I51" s="338"/>
      <c r="J51" s="338">
        <v>1</v>
      </c>
      <c r="K51" s="338">
        <v>1</v>
      </c>
      <c r="L51" s="338">
        <v>1</v>
      </c>
      <c r="M51" s="338"/>
      <c r="N51" s="375" t="s">
        <v>4512</v>
      </c>
      <c r="O51" s="375" t="s">
        <v>4513</v>
      </c>
      <c r="P51" s="382" t="str">
        <f>N51 &amp; " " &amp; O51</f>
        <v>Robert Spière</v>
      </c>
      <c r="Q51" s="383" t="str">
        <f ca="1">_xlfn.FORMULATEXT(P51)</f>
        <v>=N51 &amp; " " &amp; O51</v>
      </c>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338"/>
      <c r="AY51" s="338"/>
      <c r="AZ51" s="338"/>
      <c r="BA51" s="338"/>
      <c r="BB51" s="338"/>
      <c r="BC51" s="338"/>
      <c r="BD51" s="341">
        <v>1</v>
      </c>
    </row>
    <row r="52" spans="2:58" ht="21" customHeight="1" x14ac:dyDescent="0.25">
      <c r="B52" s="980"/>
      <c r="C52" s="384"/>
      <c r="D52" s="380"/>
      <c r="E52" s="380"/>
      <c r="F52" s="380"/>
      <c r="G52" s="380"/>
      <c r="H52" s="381"/>
      <c r="I52" s="338"/>
      <c r="J52" s="338">
        <v>1</v>
      </c>
      <c r="K52" s="338">
        <v>1</v>
      </c>
      <c r="L52" s="338">
        <v>1</v>
      </c>
      <c r="M52" s="338"/>
      <c r="N52" s="375" t="s">
        <v>4514</v>
      </c>
      <c r="O52" s="375" t="s">
        <v>4515</v>
      </c>
      <c r="P52" s="382" t="str">
        <f>_xlfn.CONCAT(N52," ",O52)</f>
        <v>Guillaume Tell</v>
      </c>
      <c r="Q52" s="383" t="str">
        <f ca="1">_xlfn.FORMULATEXT(P52)</f>
        <v>=CONCAT(N52;" ";O52)</v>
      </c>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8"/>
      <c r="AZ52" s="338"/>
      <c r="BA52" s="338"/>
      <c r="BB52" s="338"/>
      <c r="BC52" s="338"/>
      <c r="BD52" s="341">
        <v>1</v>
      </c>
    </row>
    <row r="53" spans="2:58" ht="21" customHeight="1" x14ac:dyDescent="0.25">
      <c r="B53" s="980"/>
      <c r="C53" s="384"/>
      <c r="D53" s="363"/>
      <c r="E53" s="363"/>
      <c r="F53" s="363"/>
      <c r="G53" s="363"/>
      <c r="H53" s="368"/>
      <c r="I53" s="338"/>
      <c r="J53" s="338">
        <v>1</v>
      </c>
      <c r="K53" s="338">
        <v>1</v>
      </c>
      <c r="L53" s="338">
        <v>1</v>
      </c>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338"/>
      <c r="AJ53" s="338"/>
      <c r="AK53" s="338"/>
      <c r="AL53" s="338"/>
      <c r="AM53" s="338"/>
      <c r="AN53" s="338"/>
      <c r="AO53" s="338"/>
      <c r="AP53" s="338"/>
      <c r="AQ53" s="338"/>
      <c r="AR53" s="338"/>
      <c r="AS53" s="338"/>
      <c r="AT53" s="338"/>
      <c r="AU53" s="338"/>
      <c r="AV53" s="338"/>
      <c r="AW53" s="338"/>
      <c r="AX53" s="338"/>
      <c r="AY53" s="338"/>
      <c r="AZ53" s="338"/>
      <c r="BA53" s="338"/>
      <c r="BB53" s="338"/>
      <c r="BC53" s="338"/>
      <c r="BD53" s="341">
        <v>1</v>
      </c>
    </row>
    <row r="54" spans="2:58" ht="21" customHeight="1" x14ac:dyDescent="0.25">
      <c r="B54" s="980"/>
      <c r="C54" s="385" t="str">
        <f>HYPERLINK("#"&amp;ADDRESS(ROW(C43),COLUMN(C43),4)," 🔗 Lien")</f>
        <v xml:space="preserve"> 🔗 Lien</v>
      </c>
      <c r="D54" s="984" t="str">
        <f ca="1">_xlfn.FORMULATEXT(C54)</f>
        <v>=LIEN_HYPERTEXTE("#"&amp;ADRESSE(LIGNE(C43);COLONNE(C43);4);" 🔗 Lien")</v>
      </c>
      <c r="E54" s="984"/>
      <c r="F54" s="984"/>
      <c r="G54" s="984"/>
      <c r="H54" s="985"/>
      <c r="I54" s="338"/>
      <c r="J54" s="338">
        <v>1</v>
      </c>
      <c r="K54" s="338">
        <v>1</v>
      </c>
      <c r="L54" s="338">
        <v>1</v>
      </c>
      <c r="M54" s="338"/>
      <c r="N54" s="378" t="s">
        <v>4516</v>
      </c>
      <c r="O54" s="374" t="s">
        <v>4517</v>
      </c>
      <c r="P54" s="386"/>
      <c r="Q54" s="375" t="s">
        <v>4511</v>
      </c>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c r="AS54" s="338"/>
      <c r="AT54" s="338"/>
      <c r="AU54" s="338"/>
      <c r="AV54" s="338"/>
      <c r="AW54" s="338"/>
      <c r="AX54" s="338"/>
      <c r="AY54" s="338"/>
      <c r="AZ54" s="338"/>
      <c r="BA54" s="338"/>
      <c r="BB54" s="338"/>
      <c r="BC54" s="338"/>
      <c r="BD54" s="341">
        <v>1</v>
      </c>
    </row>
    <row r="55" spans="2:58" ht="21" customHeight="1" x14ac:dyDescent="0.25">
      <c r="B55" s="980"/>
      <c r="C55" s="384"/>
      <c r="D55" s="984"/>
      <c r="E55" s="984"/>
      <c r="F55" s="984"/>
      <c r="G55" s="984"/>
      <c r="H55" s="985"/>
      <c r="I55" s="338"/>
      <c r="J55" s="338">
        <v>1</v>
      </c>
      <c r="K55" s="338">
        <v>1</v>
      </c>
      <c r="L55" s="338">
        <v>1</v>
      </c>
      <c r="M55" s="338"/>
      <c r="N55" s="375" t="s">
        <v>4518</v>
      </c>
      <c r="O55" s="387" t="str">
        <f>LEFT(N55,SEARCH(" ",N55)-1)</f>
        <v>Guillaume</v>
      </c>
      <c r="P55" s="383" t="s">
        <v>4519</v>
      </c>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U55" s="338"/>
      <c r="AV55" s="338"/>
      <c r="AW55" s="338"/>
      <c r="AX55" s="338"/>
      <c r="AY55" s="338"/>
      <c r="AZ55" s="338"/>
      <c r="BA55" s="338"/>
      <c r="BB55" s="338"/>
      <c r="BC55" s="338"/>
      <c r="BD55" s="341">
        <v>1</v>
      </c>
    </row>
    <row r="56" spans="2:58" ht="21" customHeight="1" x14ac:dyDescent="0.25">
      <c r="B56" s="980"/>
      <c r="C56" s="384"/>
      <c r="D56" s="388"/>
      <c r="E56" s="388"/>
      <c r="F56" s="388"/>
      <c r="G56" s="388"/>
      <c r="H56" s="389"/>
      <c r="I56" s="338"/>
      <c r="J56" s="338">
        <v>1</v>
      </c>
      <c r="K56" s="338">
        <v>1</v>
      </c>
      <c r="L56" s="338">
        <v>1</v>
      </c>
      <c r="M56" s="338"/>
      <c r="N56" s="375" t="s">
        <v>4518</v>
      </c>
      <c r="O56" s="387" t="str">
        <f>RIGHT(N56,LEN(N56)-SEARCH(" ",N56))</f>
        <v>Tell</v>
      </c>
      <c r="P56" s="383" t="str">
        <f ca="1">_xlfn.FORMULATEXT(O56)</f>
        <v>=DROITE(N56;NBCAR(N56)-CHERCHE(" ";N56))</v>
      </c>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338"/>
      <c r="BA56" s="338"/>
      <c r="BB56" s="338"/>
      <c r="BC56" s="338"/>
      <c r="BD56" s="341">
        <v>1</v>
      </c>
    </row>
    <row r="57" spans="2:58" ht="21" customHeight="1" x14ac:dyDescent="0.25">
      <c r="B57" s="980"/>
      <c r="C57" s="385" t="str">
        <f>HYPERLINK("#"&amp;ADDRESS(ROW(C43),COLUMN(C43),4)," 🔗 ICI")</f>
        <v xml:space="preserve"> 🔗 ICI</v>
      </c>
      <c r="D57" s="986" t="str">
        <f ca="1">_xlfn.FORMULATEXT(C57)</f>
        <v>=LIEN_HYPERTEXTE("#"&amp;ADRESSE(LIGNE(C43);COLONNE(C43);4);" 🔗 ICI")</v>
      </c>
      <c r="E57" s="986"/>
      <c r="F57" s="986"/>
      <c r="G57" s="986"/>
      <c r="H57" s="987"/>
      <c r="I57" s="338"/>
      <c r="J57" s="338">
        <v>1</v>
      </c>
      <c r="K57" s="338">
        <v>1</v>
      </c>
      <c r="L57" s="338">
        <v>1</v>
      </c>
      <c r="M57" s="338"/>
      <c r="N57" s="390" t="s">
        <v>4520</v>
      </c>
      <c r="O57" s="391" t="str">
        <f>LEFT(N57,SEARCH(",",N57)-1)</f>
        <v>Guillaume</v>
      </c>
      <c r="P57" s="383" t="str">
        <f ca="1">_xlfn.FORMULATEXT(O57)</f>
        <v>=GAUCHE(N57;CHERCHE(",";N57)-1)</v>
      </c>
      <c r="Q57" s="383"/>
      <c r="R57" s="375"/>
      <c r="S57" s="375"/>
      <c r="T57" s="375"/>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338"/>
      <c r="BA57" s="338"/>
      <c r="BB57" s="338"/>
      <c r="BC57" s="338"/>
      <c r="BD57" s="341">
        <v>1</v>
      </c>
    </row>
    <row r="58" spans="2:58" ht="21" customHeight="1" x14ac:dyDescent="0.25">
      <c r="B58" s="980"/>
      <c r="C58" s="384"/>
      <c r="D58" s="986"/>
      <c r="E58" s="986"/>
      <c r="F58" s="986"/>
      <c r="G58" s="986"/>
      <c r="H58" s="987"/>
      <c r="I58" s="338"/>
      <c r="J58" s="338">
        <v>1</v>
      </c>
      <c r="K58" s="338">
        <v>1</v>
      </c>
      <c r="L58" s="338">
        <v>1</v>
      </c>
      <c r="M58" s="338"/>
      <c r="N58" s="338">
        <v>1</v>
      </c>
      <c r="O58" s="391" t="str">
        <f>RIGHT(N57,LEN(N57)-SEARCH(",",N57))</f>
        <v>Tell</v>
      </c>
      <c r="P58" s="383" t="str">
        <f ca="1">_xlfn.FORMULATEXT(O58)</f>
        <v>=DROITE(N57;NBCAR(N57)-CHERCHE(",";N57))</v>
      </c>
      <c r="U58" s="338"/>
      <c r="V58" s="338"/>
      <c r="W58" s="338"/>
      <c r="X58" s="338"/>
      <c r="Y58" s="338"/>
      <c r="Z58" s="338"/>
      <c r="AA58" s="338"/>
      <c r="AB58" s="338"/>
      <c r="AC58" s="338"/>
      <c r="AD58" s="338"/>
      <c r="AE58" s="338"/>
      <c r="AF58" s="338"/>
      <c r="AG58" s="338"/>
      <c r="AH58" s="338"/>
      <c r="AI58" s="338"/>
      <c r="AJ58" s="338"/>
      <c r="AK58" s="338"/>
      <c r="AL58" s="338"/>
      <c r="AM58" s="338"/>
      <c r="AN58" s="338"/>
      <c r="AO58" s="338"/>
      <c r="AP58" s="338"/>
      <c r="AQ58" s="338"/>
      <c r="AR58" s="338"/>
      <c r="AS58" s="338"/>
      <c r="AT58" s="338"/>
      <c r="AU58" s="338"/>
      <c r="AV58" s="338"/>
      <c r="AW58" s="338"/>
      <c r="AX58" s="338"/>
      <c r="AY58" s="338"/>
      <c r="AZ58" s="338"/>
      <c r="BA58" s="338"/>
      <c r="BB58" s="338"/>
      <c r="BC58" s="338"/>
      <c r="BD58" s="341">
        <v>1</v>
      </c>
    </row>
    <row r="59" spans="2:58" ht="21" customHeight="1" x14ac:dyDescent="0.25">
      <c r="B59" s="980"/>
      <c r="C59" s="384"/>
      <c r="D59" s="383"/>
      <c r="E59" s="383"/>
      <c r="F59" s="383"/>
      <c r="G59" s="383"/>
      <c r="H59" s="392"/>
      <c r="I59" s="338"/>
      <c r="J59" s="338"/>
      <c r="K59" s="338"/>
      <c r="L59" s="338"/>
      <c r="M59" s="338"/>
      <c r="N59" s="338">
        <v>1</v>
      </c>
      <c r="O59" s="375" t="s">
        <v>4521</v>
      </c>
      <c r="P59" s="338"/>
      <c r="Q59" s="338"/>
      <c r="R59" s="338"/>
      <c r="S59" s="338"/>
      <c r="T59" s="338"/>
      <c r="U59" s="338"/>
      <c r="V59" s="338"/>
      <c r="W59" s="338"/>
      <c r="X59" s="338"/>
      <c r="Y59" s="338"/>
      <c r="Z59" s="338"/>
      <c r="AA59" s="338"/>
      <c r="AB59" s="338"/>
      <c r="AC59" s="338"/>
      <c r="AD59" s="338"/>
      <c r="AE59" s="338"/>
      <c r="AF59" s="338"/>
      <c r="AG59" s="338"/>
      <c r="AH59" s="338"/>
      <c r="AI59" s="338"/>
      <c r="AJ59" s="338"/>
      <c r="AK59" s="338"/>
      <c r="AL59" s="338"/>
      <c r="AM59" s="338"/>
      <c r="AN59" s="338"/>
      <c r="AO59" s="338"/>
      <c r="AP59" s="338"/>
      <c r="AQ59" s="338"/>
      <c r="AR59" s="338"/>
      <c r="AS59" s="338"/>
      <c r="AT59" s="338"/>
      <c r="AU59" s="338"/>
      <c r="AV59" s="338"/>
      <c r="AW59" s="338"/>
      <c r="AX59" s="338"/>
      <c r="AY59" s="338"/>
      <c r="AZ59" s="338"/>
      <c r="BA59" s="338"/>
      <c r="BB59" s="338"/>
      <c r="BC59" s="338"/>
      <c r="BD59" s="341">
        <v>1</v>
      </c>
    </row>
    <row r="60" spans="2:58" ht="21" customHeight="1" x14ac:dyDescent="0.25">
      <c r="B60" s="980"/>
      <c r="C60" s="393" t="str">
        <f>HYPERLINK("#"&amp;ADDRESS(ROW(C43),COLUMN(C43),4)," 🔗 "&amp;ADDRESS(ROW(C43),COLUMN(C43),4))</f>
        <v xml:space="preserve"> 🔗 C43</v>
      </c>
      <c r="D60" s="986" t="str">
        <f ca="1">_xlfn.FORMULATEXT(C60)</f>
        <v>=LIEN_HYPERTEXTE("#"&amp;ADRESSE(LIGNE(C43);COLONNE(C43);4);" 🔗 "&amp;ADRESSE(LIGNE(C43);COLONNE(C43);4))</v>
      </c>
      <c r="E60" s="986"/>
      <c r="F60" s="986"/>
      <c r="G60" s="986"/>
      <c r="H60" s="987"/>
      <c r="I60" s="338"/>
      <c r="J60" s="338"/>
      <c r="K60" s="338"/>
      <c r="L60" s="338"/>
      <c r="M60" s="338"/>
      <c r="O60" s="338"/>
      <c r="P60" s="394"/>
      <c r="Q60" s="395" t="s">
        <v>4522</v>
      </c>
      <c r="R60" s="396" t="s">
        <v>4523</v>
      </c>
      <c r="S60" s="394"/>
      <c r="T60" s="394"/>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41">
        <v>1</v>
      </c>
    </row>
    <row r="61" spans="2:58" ht="21" customHeight="1" x14ac:dyDescent="0.25">
      <c r="B61" s="980"/>
      <c r="C61" s="384"/>
      <c r="D61" s="986"/>
      <c r="E61" s="986"/>
      <c r="F61" s="986"/>
      <c r="G61" s="986"/>
      <c r="H61" s="987"/>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41">
        <v>1</v>
      </c>
    </row>
    <row r="62" spans="2:58" ht="21" customHeight="1" thickBot="1" x14ac:dyDescent="0.3">
      <c r="B62" s="980"/>
      <c r="C62" s="384"/>
      <c r="D62" s="363"/>
      <c r="E62" s="363"/>
      <c r="F62" s="363"/>
      <c r="G62" s="363"/>
      <c r="H62" s="36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338"/>
      <c r="AZ62" s="338"/>
      <c r="BA62" s="338"/>
      <c r="BB62" s="338"/>
      <c r="BC62" s="338"/>
      <c r="BD62" s="341">
        <v>1</v>
      </c>
    </row>
    <row r="63" spans="2:58" ht="21" customHeight="1" x14ac:dyDescent="0.25">
      <c r="B63" s="980"/>
      <c r="C63" s="393" t="str">
        <f>HYPERLINK("#"&amp;ADDRESS(ROW(C43),COLUMN(C43),4),"◀"&amp;ADDRESS(ROW(C43),COLUMN(C43),4))</f>
        <v>◀C43</v>
      </c>
      <c r="D63" s="988" t="str">
        <f ca="1">_xlfn.FORMULATEXT(C63)</f>
        <v>=LIEN_HYPERTEXTE("#"&amp;ADRESSE(LIGNE(C43);COLONNE(C43);4);"◀"&amp;ADRESSE(LIGNE(C43);COLONNE(C43);4))</v>
      </c>
      <c r="E63" s="988"/>
      <c r="F63" s="988"/>
      <c r="G63" s="988"/>
      <c r="H63" s="989"/>
      <c r="I63" s="338"/>
      <c r="J63" s="397" t="s">
        <v>4524</v>
      </c>
      <c r="K63" s="398"/>
      <c r="L63" s="398"/>
      <c r="M63" s="398"/>
      <c r="N63" s="398"/>
      <c r="O63" s="398"/>
      <c r="P63" s="399"/>
      <c r="Q63" s="338"/>
      <c r="R63" s="338"/>
      <c r="S63" s="338"/>
      <c r="T63" s="338"/>
      <c r="U63" s="338"/>
      <c r="V63" s="338"/>
      <c r="W63" s="338"/>
      <c r="X63" s="338"/>
      <c r="Y63" s="338"/>
      <c r="Z63" s="338"/>
      <c r="AA63" s="338"/>
      <c r="AB63" s="338"/>
      <c r="AC63" s="338"/>
      <c r="AD63" s="338"/>
      <c r="AE63" s="338"/>
      <c r="AF63" s="338"/>
      <c r="AG63" s="338"/>
      <c r="AH63" s="338"/>
      <c r="AI63" s="338"/>
      <c r="AJ63" s="338"/>
      <c r="AK63" s="338"/>
      <c r="AL63" s="338"/>
      <c r="AM63" s="338"/>
      <c r="AN63" s="338"/>
      <c r="AO63" s="338"/>
      <c r="AP63" s="338"/>
      <c r="AQ63" s="338"/>
      <c r="AR63" s="338"/>
      <c r="AS63" s="338"/>
      <c r="AT63" s="338"/>
      <c r="AU63" s="338"/>
      <c r="AV63" s="338"/>
      <c r="AW63" s="338"/>
      <c r="AX63" s="338"/>
      <c r="AY63" s="338"/>
      <c r="AZ63" s="338"/>
      <c r="BA63" s="338"/>
      <c r="BB63" s="338"/>
      <c r="BC63" s="338"/>
      <c r="BD63" s="341">
        <v>1</v>
      </c>
    </row>
    <row r="64" spans="2:58" ht="21" customHeight="1" x14ac:dyDescent="0.25">
      <c r="B64" s="980"/>
      <c r="C64" s="384"/>
      <c r="D64" s="988"/>
      <c r="E64" s="988"/>
      <c r="F64" s="988"/>
      <c r="G64" s="988"/>
      <c r="H64" s="989"/>
      <c r="I64" s="338"/>
      <c r="J64" s="400" t="s">
        <v>4525</v>
      </c>
      <c r="K64" s="401"/>
      <c r="L64" s="401"/>
      <c r="M64" s="401"/>
      <c r="N64" s="401"/>
      <c r="O64" s="401"/>
      <c r="P64" s="402"/>
      <c r="Q64" s="338"/>
      <c r="R64" s="338"/>
      <c r="S64" s="338"/>
      <c r="T64" s="338"/>
      <c r="U64" s="338"/>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c r="BA64" s="338"/>
      <c r="BB64" s="338"/>
      <c r="BC64" s="338"/>
      <c r="BD64" s="341">
        <v>1</v>
      </c>
    </row>
    <row r="65" spans="2:56" ht="21" customHeight="1" x14ac:dyDescent="0.25">
      <c r="B65" s="980"/>
      <c r="C65" s="384"/>
      <c r="D65" s="388"/>
      <c r="E65" s="388"/>
      <c r="F65" s="388"/>
      <c r="G65" s="388"/>
      <c r="H65" s="389"/>
      <c r="I65" s="338"/>
      <c r="J65" s="400" t="s">
        <v>4526</v>
      </c>
      <c r="K65" s="401"/>
      <c r="L65" s="401"/>
      <c r="M65" s="401"/>
      <c r="N65" s="401"/>
      <c r="O65" s="401"/>
      <c r="P65" s="402"/>
      <c r="Q65" s="338"/>
      <c r="R65" s="338"/>
      <c r="S65" s="338"/>
      <c r="T65" s="338"/>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38"/>
      <c r="AS65" s="338"/>
      <c r="AT65" s="338"/>
      <c r="AU65" s="338"/>
      <c r="AV65" s="338"/>
      <c r="AW65" s="338"/>
      <c r="AX65" s="338"/>
      <c r="AY65" s="338"/>
      <c r="AZ65" s="338"/>
      <c r="BA65" s="338"/>
      <c r="BB65" s="338"/>
      <c r="BC65" s="338"/>
      <c r="BD65" s="341">
        <v>1</v>
      </c>
    </row>
    <row r="66" spans="2:56" ht="21" customHeight="1" x14ac:dyDescent="0.25">
      <c r="B66" s="980"/>
      <c r="C66" s="393" t="str">
        <f>HYPERLINK("#"&amp;ADDRESS(ROW(C43),COLUMN(C43),4),_xlfn.UNICHAR(128269)&amp;ADDRESS(ROW(C43),COLUMN(C43),4))</f>
        <v>🔍C43</v>
      </c>
      <c r="D66" s="961" t="str">
        <f ca="1">_xlfn.FORMULATEXT(C66)</f>
        <v>=LIEN_HYPERTEXTE("#"&amp;ADRESSE(LIGNE(C43);COLONNE(C43);4);UNICAR(128269)&amp;ADRESSE(LIGNE(C43);COLONNE(C43);4))</v>
      </c>
      <c r="E66" s="961"/>
      <c r="F66" s="961"/>
      <c r="G66" s="961"/>
      <c r="H66" s="962"/>
      <c r="I66" s="338"/>
      <c r="J66" s="400" t="s">
        <v>4527</v>
      </c>
      <c r="K66" s="401"/>
      <c r="L66" s="401"/>
      <c r="M66" s="401"/>
      <c r="N66" s="401"/>
      <c r="O66" s="401"/>
      <c r="P66" s="402"/>
      <c r="Q66" s="338"/>
      <c r="R66" s="338"/>
      <c r="S66" s="338"/>
      <c r="T66" s="338"/>
      <c r="U66" s="338"/>
      <c r="V66" s="338"/>
      <c r="W66" s="338"/>
      <c r="X66" s="338"/>
      <c r="Y66" s="338"/>
      <c r="Z66" s="338"/>
      <c r="AA66" s="338"/>
      <c r="AB66" s="338"/>
      <c r="AC66" s="338"/>
      <c r="AD66" s="338"/>
      <c r="AE66" s="338"/>
      <c r="AF66" s="338"/>
      <c r="AG66" s="338"/>
      <c r="AH66" s="338"/>
      <c r="AI66" s="338"/>
      <c r="AJ66" s="338"/>
      <c r="AK66" s="338"/>
      <c r="AL66" s="338"/>
      <c r="AM66" s="338"/>
      <c r="AN66" s="338"/>
      <c r="AO66" s="338"/>
      <c r="AP66" s="338"/>
      <c r="AQ66" s="338"/>
      <c r="AR66" s="338"/>
      <c r="AS66" s="338"/>
      <c r="AT66" s="338"/>
      <c r="AU66" s="338"/>
      <c r="AV66" s="338"/>
      <c r="AW66" s="338"/>
      <c r="AX66" s="338"/>
      <c r="AY66" s="338"/>
      <c r="AZ66" s="338"/>
      <c r="BA66" s="338"/>
      <c r="BB66" s="338"/>
      <c r="BC66" s="338"/>
      <c r="BD66" s="341">
        <v>1</v>
      </c>
    </row>
    <row r="67" spans="2:56" ht="21" customHeight="1" x14ac:dyDescent="0.25">
      <c r="B67" s="980"/>
      <c r="C67" s="384"/>
      <c r="D67" s="961"/>
      <c r="E67" s="961"/>
      <c r="F67" s="961"/>
      <c r="G67" s="961"/>
      <c r="H67" s="962"/>
      <c r="I67" s="338"/>
      <c r="J67" s="405" t="s">
        <v>4528</v>
      </c>
      <c r="K67" s="406"/>
      <c r="L67" s="406"/>
      <c r="M67" s="406"/>
      <c r="N67" s="406"/>
      <c r="O67" s="406"/>
      <c r="P67" s="407"/>
      <c r="Q67" s="338"/>
      <c r="R67" s="338"/>
      <c r="S67" s="338"/>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338"/>
      <c r="AR67" s="338"/>
      <c r="AS67" s="338"/>
      <c r="AT67" s="338"/>
      <c r="AU67" s="338"/>
      <c r="AV67" s="338"/>
      <c r="AW67" s="338"/>
      <c r="AX67" s="338"/>
      <c r="AY67" s="338"/>
      <c r="AZ67" s="338"/>
      <c r="BA67" s="338"/>
      <c r="BB67" s="338"/>
      <c r="BC67" s="338"/>
      <c r="BD67" s="341">
        <v>1</v>
      </c>
    </row>
    <row r="68" spans="2:56" ht="21" customHeight="1" x14ac:dyDescent="0.25">
      <c r="B68" s="980"/>
      <c r="C68" s="384"/>
      <c r="D68" s="403"/>
      <c r="E68" s="403"/>
      <c r="F68" s="403"/>
      <c r="G68" s="403"/>
      <c r="H68" s="404"/>
      <c r="I68" s="338"/>
      <c r="J68" s="408">
        <v>14</v>
      </c>
      <c r="K68" s="409">
        <v>14</v>
      </c>
      <c r="L68" s="409">
        <v>14</v>
      </c>
      <c r="M68" s="409">
        <v>14</v>
      </c>
      <c r="N68" s="409">
        <v>14</v>
      </c>
      <c r="O68" s="409">
        <v>14</v>
      </c>
      <c r="P68" s="410">
        <v>14</v>
      </c>
      <c r="Q68" s="411" t="s">
        <v>4529</v>
      </c>
      <c r="R68" s="338"/>
      <c r="S68" s="338"/>
      <c r="T68" s="338"/>
      <c r="U68" s="338"/>
      <c r="V68" s="338"/>
      <c r="W68" s="338"/>
      <c r="X68" s="338"/>
      <c r="Y68" s="338"/>
      <c r="Z68" s="338"/>
      <c r="AA68" s="338"/>
      <c r="AB68" s="338"/>
      <c r="AC68" s="338"/>
      <c r="AD68" s="338"/>
      <c r="AE68" s="338"/>
      <c r="AF68" s="338"/>
      <c r="AG68" s="338"/>
      <c r="AH68" s="338"/>
      <c r="AI68" s="338"/>
      <c r="AJ68" s="338"/>
      <c r="AK68" s="338"/>
      <c r="AL68" s="338"/>
      <c r="AM68" s="338"/>
      <c r="AN68" s="338"/>
      <c r="AO68" s="338"/>
      <c r="AP68" s="338"/>
      <c r="AQ68" s="338"/>
      <c r="AR68" s="338"/>
      <c r="AS68" s="338"/>
      <c r="AT68" s="338"/>
      <c r="AU68" s="338"/>
      <c r="AV68" s="338"/>
      <c r="AW68" s="338"/>
      <c r="AX68" s="338"/>
      <c r="AY68" s="338"/>
      <c r="AZ68" s="338"/>
      <c r="BA68" s="338"/>
      <c r="BB68" s="338"/>
      <c r="BC68" s="338"/>
      <c r="BD68" s="341">
        <v>1</v>
      </c>
    </row>
    <row r="69" spans="2:56" ht="21" customHeight="1" thickBot="1" x14ac:dyDescent="0.3">
      <c r="B69" s="980"/>
      <c r="C69" s="412"/>
      <c r="D69" s="413" t="s">
        <v>4530</v>
      </c>
      <c r="E69" s="403" t="str">
        <f>C43</f>
        <v>C43</v>
      </c>
      <c r="F69" s="414" t="s">
        <v>4531</v>
      </c>
      <c r="G69" s="403"/>
      <c r="H69" s="404"/>
      <c r="I69" s="338"/>
      <c r="J69" s="415">
        <f t="shared" ref="J69:P69" ca="1" si="6">INDEX(CELL("largeur",J69),1,1)</f>
        <v>18</v>
      </c>
      <c r="K69" s="416">
        <f t="shared" ca="1" si="6"/>
        <v>16</v>
      </c>
      <c r="L69" s="416">
        <f t="shared" ca="1" si="6"/>
        <v>16</v>
      </c>
      <c r="M69" s="416">
        <f t="shared" ca="1" si="6"/>
        <v>18</v>
      </c>
      <c r="N69" s="416">
        <f t="shared" ca="1" si="6"/>
        <v>16</v>
      </c>
      <c r="O69" s="416">
        <f t="shared" ca="1" si="6"/>
        <v>16</v>
      </c>
      <c r="P69" s="417">
        <f t="shared" ca="1" si="6"/>
        <v>16</v>
      </c>
      <c r="Q69" s="411" t="s">
        <v>4532</v>
      </c>
      <c r="R69" s="338"/>
      <c r="S69" s="338"/>
      <c r="T69" s="338"/>
      <c r="U69" s="338"/>
      <c r="V69" s="338"/>
      <c r="W69" s="338"/>
      <c r="X69" s="338"/>
      <c r="Y69" s="338"/>
      <c r="Z69" s="338"/>
      <c r="AA69" s="338"/>
      <c r="AB69" s="338"/>
      <c r="AC69" s="338"/>
      <c r="AD69" s="338"/>
      <c r="AE69" s="338"/>
      <c r="AF69" s="338"/>
      <c r="AG69" s="338"/>
      <c r="AH69" s="338"/>
      <c r="AI69" s="338"/>
      <c r="AJ69" s="338"/>
      <c r="AK69" s="338"/>
      <c r="AL69" s="338"/>
      <c r="AM69" s="338"/>
      <c r="AN69" s="338"/>
      <c r="AO69" s="338"/>
      <c r="AP69" s="338"/>
      <c r="AQ69" s="338"/>
      <c r="AR69" s="338"/>
      <c r="AS69" s="338"/>
      <c r="AT69" s="338"/>
      <c r="AU69" s="338"/>
      <c r="AV69" s="338"/>
      <c r="AW69" s="338"/>
      <c r="AX69" s="338"/>
      <c r="AY69" s="338"/>
      <c r="AZ69" s="338"/>
      <c r="BA69" s="338"/>
      <c r="BB69" s="338"/>
      <c r="BC69" s="338"/>
      <c r="BD69" s="341">
        <v>1</v>
      </c>
    </row>
    <row r="70" spans="2:56" ht="21" customHeight="1" x14ac:dyDescent="0.25">
      <c r="B70" s="980"/>
      <c r="C70" s="963" t="s">
        <v>4533</v>
      </c>
      <c r="D70" s="963"/>
      <c r="E70" s="963"/>
      <c r="F70" s="963"/>
      <c r="G70" s="963"/>
      <c r="H70" s="964"/>
      <c r="I70" s="338"/>
      <c r="K70" s="338"/>
      <c r="L70" s="338"/>
      <c r="M70" s="338"/>
      <c r="N70" s="338"/>
      <c r="O70" s="338"/>
      <c r="P70" s="338"/>
      <c r="Q70" s="338"/>
      <c r="R70" s="338"/>
      <c r="S70" s="338"/>
      <c r="T70" s="338"/>
      <c r="U70" s="338"/>
      <c r="V70" s="338"/>
      <c r="W70" s="338"/>
      <c r="X70" s="338"/>
      <c r="Y70" s="338"/>
      <c r="Z70" s="338"/>
      <c r="AA70" s="338"/>
      <c r="AB70" s="338"/>
      <c r="AC70" s="338"/>
      <c r="AD70" s="338"/>
      <c r="AE70" s="338"/>
      <c r="AF70" s="338"/>
      <c r="AG70" s="338"/>
      <c r="AH70" s="338"/>
      <c r="AI70" s="338"/>
      <c r="AJ70" s="338"/>
      <c r="AK70" s="338"/>
      <c r="AL70" s="338"/>
      <c r="AM70" s="338"/>
      <c r="AN70" s="338"/>
      <c r="AO70" s="338"/>
      <c r="AP70" s="338"/>
      <c r="AQ70" s="338"/>
      <c r="AR70" s="338"/>
      <c r="AS70" s="338"/>
      <c r="AT70" s="338"/>
      <c r="AU70" s="338"/>
      <c r="AV70" s="338"/>
      <c r="AW70" s="338"/>
      <c r="AX70" s="338"/>
      <c r="AY70" s="338"/>
      <c r="AZ70" s="338"/>
      <c r="BA70" s="338"/>
      <c r="BB70" s="338"/>
      <c r="BC70" s="338"/>
      <c r="BD70" s="341">
        <v>1</v>
      </c>
    </row>
    <row r="71" spans="2:56" ht="21" customHeight="1" x14ac:dyDescent="0.25">
      <c r="B71" s="980"/>
      <c r="C71" s="963"/>
      <c r="D71" s="963"/>
      <c r="E71" s="963"/>
      <c r="F71" s="963"/>
      <c r="G71" s="963"/>
      <c r="H71" s="964"/>
      <c r="I71" s="338"/>
      <c r="J71" s="418" t="s">
        <v>4534</v>
      </c>
      <c r="K71" s="338"/>
      <c r="L71" s="338"/>
      <c r="M71" s="338"/>
      <c r="N71" s="338"/>
      <c r="O71" s="338"/>
      <c r="P71" s="338"/>
      <c r="Q71" s="338"/>
      <c r="R71" s="338"/>
      <c r="S71" s="338"/>
      <c r="T71" s="338"/>
      <c r="U71" s="338"/>
      <c r="V71" s="338"/>
      <c r="W71" s="338"/>
      <c r="X71" s="338"/>
      <c r="Y71" s="338"/>
      <c r="Z71" s="338"/>
      <c r="AA71" s="338"/>
      <c r="AB71" s="338"/>
      <c r="AC71" s="338"/>
      <c r="AD71" s="338"/>
      <c r="AE71" s="338"/>
      <c r="AF71" s="338"/>
      <c r="AG71" s="338"/>
      <c r="AH71" s="338"/>
      <c r="AI71" s="338"/>
      <c r="AJ71" s="338"/>
      <c r="AK71" s="338"/>
      <c r="AL71" s="338"/>
      <c r="AM71" s="338"/>
      <c r="AN71" s="338"/>
      <c r="AO71" s="338"/>
      <c r="AP71" s="338"/>
      <c r="AQ71" s="338"/>
      <c r="AR71" s="338"/>
      <c r="AS71" s="338"/>
      <c r="AT71" s="338"/>
      <c r="AU71" s="338"/>
      <c r="AV71" s="338"/>
      <c r="AW71" s="338"/>
      <c r="AX71" s="338"/>
      <c r="AY71" s="338"/>
      <c r="AZ71" s="338"/>
      <c r="BA71" s="338"/>
      <c r="BB71" s="338"/>
      <c r="BC71" s="338"/>
      <c r="BD71" s="341">
        <v>1</v>
      </c>
    </row>
    <row r="72" spans="2:56" ht="21" customHeight="1" x14ac:dyDescent="0.25">
      <c r="B72" s="980"/>
      <c r="C72" s="384"/>
      <c r="D72" s="419"/>
      <c r="E72" s="419"/>
      <c r="F72" s="419"/>
      <c r="G72" s="419"/>
      <c r="H72" s="420"/>
      <c r="I72" s="338"/>
      <c r="J72" s="421" t="s">
        <v>4535</v>
      </c>
      <c r="K72" s="338"/>
      <c r="L72" s="338"/>
      <c r="M72" s="338"/>
      <c r="O72" s="422"/>
      <c r="P72" s="423" t="s">
        <v>4536</v>
      </c>
      <c r="Q72" s="396" t="s">
        <v>4537</v>
      </c>
      <c r="R72" s="422"/>
      <c r="S72" s="422"/>
      <c r="T72" s="422"/>
      <c r="U72" s="338"/>
      <c r="V72" s="338"/>
      <c r="W72" s="338"/>
      <c r="X72" s="338"/>
      <c r="Y72" s="338"/>
      <c r="Z72" s="338"/>
      <c r="AA72" s="338"/>
      <c r="AB72" s="338"/>
      <c r="AC72" s="338"/>
      <c r="AD72" s="338"/>
      <c r="AE72" s="338"/>
      <c r="AF72" s="338"/>
      <c r="AG72" s="338"/>
      <c r="AH72" s="338"/>
      <c r="AI72" s="338"/>
      <c r="AJ72" s="338"/>
      <c r="AK72" s="338"/>
      <c r="AL72" s="338"/>
      <c r="AM72" s="338"/>
      <c r="AN72" s="338"/>
      <c r="AO72" s="338"/>
      <c r="AP72" s="338"/>
      <c r="AQ72" s="338"/>
      <c r="AR72" s="338"/>
      <c r="AS72" s="338"/>
      <c r="AT72" s="338"/>
      <c r="AU72" s="338"/>
      <c r="AV72" s="338"/>
      <c r="AW72" s="338"/>
      <c r="AX72" s="338"/>
      <c r="AY72" s="338"/>
      <c r="AZ72" s="338"/>
      <c r="BA72" s="338"/>
      <c r="BB72" s="338"/>
      <c r="BC72" s="338"/>
      <c r="BD72" s="341">
        <v>1</v>
      </c>
    </row>
    <row r="73" spans="2:56" ht="21" customHeight="1" thickBot="1" x14ac:dyDescent="0.3">
      <c r="B73" s="980"/>
      <c r="C73" s="424" t="s">
        <v>4538</v>
      </c>
      <c r="D73" s="419"/>
      <c r="E73" s="419"/>
      <c r="F73" s="419"/>
      <c r="G73" s="419"/>
      <c r="H73" s="420"/>
      <c r="I73" s="338"/>
      <c r="J73" s="425" t="s">
        <v>4539</v>
      </c>
      <c r="K73" s="338"/>
      <c r="L73" s="338"/>
      <c r="M73" s="338"/>
      <c r="N73" s="338"/>
      <c r="O73" s="338"/>
      <c r="P73" s="338"/>
      <c r="Q73" s="338"/>
      <c r="R73" s="338"/>
      <c r="S73" s="338"/>
      <c r="T73" s="338"/>
      <c r="U73" s="338"/>
      <c r="V73" s="338"/>
      <c r="W73" s="338"/>
      <c r="X73" s="338"/>
      <c r="Y73" s="338"/>
      <c r="Z73" s="338"/>
      <c r="AA73" s="338"/>
      <c r="AB73" s="338"/>
      <c r="AC73" s="338"/>
      <c r="AD73" s="338"/>
      <c r="AE73" s="338"/>
      <c r="AF73" s="338"/>
      <c r="AG73" s="338"/>
      <c r="AH73" s="338"/>
      <c r="AI73" s="338"/>
      <c r="AJ73" s="338"/>
      <c r="AK73" s="338"/>
      <c r="AL73" s="338"/>
      <c r="AM73" s="338"/>
      <c r="AN73" s="338"/>
      <c r="AO73" s="338"/>
      <c r="AP73" s="338"/>
      <c r="AQ73" s="338"/>
      <c r="AR73" s="338"/>
      <c r="AS73" s="338"/>
      <c r="AT73" s="338"/>
      <c r="AU73" s="338"/>
      <c r="AV73" s="338"/>
      <c r="AW73" s="338"/>
      <c r="AX73" s="338"/>
      <c r="AY73" s="338"/>
      <c r="AZ73" s="338"/>
      <c r="BA73" s="338"/>
      <c r="BB73" s="338"/>
      <c r="BC73" s="338"/>
      <c r="BD73" s="341">
        <v>1</v>
      </c>
    </row>
    <row r="74" spans="2:56" ht="21" customHeight="1" x14ac:dyDescent="0.25">
      <c r="B74" s="980"/>
      <c r="C74" s="426" t="s">
        <v>4540</v>
      </c>
      <c r="D74" s="419"/>
      <c r="E74" s="419"/>
      <c r="F74" s="419"/>
      <c r="G74" s="419"/>
      <c r="H74" s="420"/>
      <c r="I74" s="338"/>
      <c r="J74" s="427" t="s">
        <v>4541</v>
      </c>
      <c r="K74" s="338"/>
      <c r="L74" s="338"/>
      <c r="M74" s="338"/>
      <c r="N74" s="428" t="s">
        <v>4491</v>
      </c>
      <c r="O74" s="965" t="s">
        <v>4542</v>
      </c>
      <c r="P74" s="965"/>
      <c r="Q74" s="965"/>
      <c r="R74" s="965"/>
      <c r="S74" s="966"/>
      <c r="T74" s="338"/>
      <c r="U74" s="338"/>
      <c r="V74" s="338"/>
      <c r="W74" s="338"/>
      <c r="X74" s="338"/>
      <c r="Y74" s="338"/>
      <c r="Z74" s="338"/>
      <c r="AA74" s="338"/>
      <c r="AB74" s="338"/>
      <c r="AC74" s="338"/>
      <c r="AD74" s="338"/>
      <c r="AE74" s="338"/>
      <c r="AF74" s="338"/>
      <c r="AG74" s="338"/>
      <c r="AH74" s="338"/>
      <c r="AI74" s="338"/>
      <c r="AJ74" s="338"/>
      <c r="AK74" s="338"/>
      <c r="AL74" s="338"/>
      <c r="AM74" s="338"/>
      <c r="AN74" s="338"/>
      <c r="AO74" s="338"/>
      <c r="AP74" s="338"/>
      <c r="AQ74" s="338"/>
      <c r="AR74" s="338"/>
      <c r="AS74" s="338"/>
      <c r="AT74" s="338"/>
      <c r="AU74" s="338"/>
      <c r="AV74" s="338"/>
      <c r="AW74" s="338"/>
      <c r="AX74" s="338"/>
      <c r="AY74" s="338"/>
      <c r="AZ74" s="338"/>
      <c r="BA74" s="338"/>
      <c r="BB74" s="338"/>
      <c r="BC74" s="338"/>
      <c r="BD74" s="341">
        <v>1</v>
      </c>
    </row>
    <row r="75" spans="2:56" ht="21" customHeight="1" x14ac:dyDescent="0.25">
      <c r="B75" s="980"/>
      <c r="C75" s="967" t="s">
        <v>4543</v>
      </c>
      <c r="D75" s="967"/>
      <c r="E75" s="967"/>
      <c r="F75" s="967"/>
      <c r="G75" s="967"/>
      <c r="H75" s="968"/>
      <c r="I75" s="338"/>
      <c r="J75" s="429" t="s">
        <v>4544</v>
      </c>
      <c r="K75" s="338"/>
      <c r="L75" s="338"/>
      <c r="M75" s="338"/>
      <c r="N75" s="969">
        <v>3</v>
      </c>
      <c r="O75" s="344"/>
      <c r="P75" s="430" t="s">
        <v>4545</v>
      </c>
      <c r="Q75" s="431" t="s">
        <v>4546</v>
      </c>
      <c r="R75" s="432"/>
      <c r="S75" s="433"/>
      <c r="T75" s="338"/>
      <c r="U75" s="338"/>
      <c r="V75" s="338"/>
      <c r="W75" s="338"/>
      <c r="X75" s="338"/>
      <c r="Y75" s="338"/>
      <c r="Z75" s="338"/>
      <c r="AA75" s="338"/>
      <c r="AB75" s="338"/>
      <c r="AC75" s="338"/>
      <c r="AD75" s="338"/>
      <c r="AE75" s="338"/>
      <c r="AF75" s="338"/>
      <c r="AG75" s="338"/>
      <c r="AH75" s="338"/>
      <c r="AI75" s="338"/>
      <c r="AJ75" s="338"/>
      <c r="AK75" s="338"/>
      <c r="AL75" s="338"/>
      <c r="AM75" s="338"/>
      <c r="AN75" s="338"/>
      <c r="AO75" s="338"/>
      <c r="AP75" s="338"/>
      <c r="AQ75" s="338"/>
      <c r="AR75" s="338"/>
      <c r="AS75" s="338"/>
      <c r="AT75" s="338"/>
      <c r="AU75" s="338"/>
      <c r="AV75" s="338"/>
      <c r="AW75" s="338"/>
      <c r="AX75" s="338"/>
      <c r="AY75" s="338"/>
      <c r="AZ75" s="338"/>
      <c r="BA75" s="338"/>
      <c r="BB75" s="338"/>
      <c r="BC75" s="338"/>
      <c r="BD75" s="341">
        <v>1</v>
      </c>
    </row>
    <row r="76" spans="2:56" ht="21" customHeight="1" x14ac:dyDescent="0.25">
      <c r="B76" s="980"/>
      <c r="C76" s="967"/>
      <c r="D76" s="967"/>
      <c r="E76" s="967"/>
      <c r="F76" s="967"/>
      <c r="G76" s="967"/>
      <c r="H76" s="968"/>
      <c r="I76" s="338"/>
      <c r="J76" s="434" t="s">
        <v>4547</v>
      </c>
      <c r="K76" s="338"/>
      <c r="L76" s="338"/>
      <c r="M76" s="338"/>
      <c r="N76" s="969"/>
      <c r="O76" s="435"/>
      <c r="P76" s="435"/>
      <c r="Q76" s="435"/>
      <c r="R76" s="435"/>
      <c r="S76" s="436"/>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338"/>
      <c r="AS76" s="338"/>
      <c r="AT76" s="338"/>
      <c r="AU76" s="338"/>
      <c r="AV76" s="338"/>
      <c r="AW76" s="338"/>
      <c r="AX76" s="338"/>
      <c r="AY76" s="338"/>
      <c r="AZ76" s="338"/>
      <c r="BA76" s="338"/>
      <c r="BB76" s="338"/>
      <c r="BC76" s="338"/>
      <c r="BD76" s="341">
        <v>1</v>
      </c>
    </row>
    <row r="77" spans="2:56" ht="21" customHeight="1" x14ac:dyDescent="0.25">
      <c r="B77" s="980"/>
      <c r="C77" s="426"/>
      <c r="D77" s="419"/>
      <c r="E77" s="419"/>
      <c r="F77" s="419"/>
      <c r="G77" s="419"/>
      <c r="H77" s="420"/>
      <c r="I77" s="338"/>
      <c r="J77" s="437" t="s">
        <v>4548</v>
      </c>
      <c r="K77" s="338"/>
      <c r="L77" s="338"/>
      <c r="M77" s="338"/>
      <c r="N77" s="969"/>
      <c r="O77" s="340"/>
      <c r="P77" s="340"/>
      <c r="Q77" s="438" t="s">
        <v>4549</v>
      </c>
      <c r="R77" s="439">
        <v>6</v>
      </c>
      <c r="S77" s="440"/>
      <c r="T77" s="338"/>
      <c r="U77" s="338"/>
      <c r="V77" s="338"/>
      <c r="W77" s="338"/>
      <c r="X77" s="338"/>
      <c r="Y77" s="338"/>
      <c r="Z77" s="338"/>
      <c r="AA77" s="338"/>
      <c r="AB77" s="338"/>
      <c r="AC77" s="338"/>
      <c r="AD77" s="338"/>
      <c r="AE77" s="338"/>
      <c r="AF77" s="338"/>
      <c r="AG77" s="338"/>
      <c r="AH77" s="338"/>
      <c r="AI77" s="338"/>
      <c r="AJ77" s="338"/>
      <c r="AK77" s="338"/>
      <c r="AL77" s="338"/>
      <c r="AM77" s="338"/>
      <c r="AN77" s="338"/>
      <c r="AO77" s="338"/>
      <c r="AP77" s="338"/>
      <c r="AQ77" s="338"/>
      <c r="AR77" s="338"/>
      <c r="AS77" s="338"/>
      <c r="AT77" s="338"/>
      <c r="AU77" s="338"/>
      <c r="AV77" s="338"/>
      <c r="AW77" s="338"/>
      <c r="AX77" s="338"/>
      <c r="AY77" s="338"/>
      <c r="AZ77" s="338"/>
      <c r="BA77" s="338"/>
      <c r="BB77" s="338"/>
      <c r="BC77" s="338"/>
      <c r="BD77" s="341">
        <v>1</v>
      </c>
    </row>
    <row r="78" spans="2:56" ht="21" customHeight="1" x14ac:dyDescent="0.25">
      <c r="B78" s="980"/>
      <c r="C78" s="441" t="str">
        <f>HYPERLINK("# c131",_xlfn.UNICHAR(128269)&amp;" 🔗 Lien")</f>
        <v>🔍 🔗 Lien</v>
      </c>
      <c r="D78" s="442" t="str">
        <f ca="1">_xlfn.FORMULATEXT(C78)</f>
        <v>=LIEN_HYPERTEXTE("# c131";UNICAR(128269)&amp;" 🔗 Lien")</v>
      </c>
      <c r="E78" s="363"/>
      <c r="F78" s="363"/>
      <c r="G78" s="363"/>
      <c r="H78" s="368"/>
      <c r="I78" s="338"/>
      <c r="J78" s="443" t="s">
        <v>4550</v>
      </c>
      <c r="K78" s="338"/>
      <c r="L78" s="338"/>
      <c r="M78" s="338"/>
      <c r="N78" s="969"/>
      <c r="O78" s="340"/>
      <c r="P78" s="340"/>
      <c r="Q78" s="438" t="s">
        <v>4551</v>
      </c>
      <c r="R78" s="439">
        <v>4</v>
      </c>
      <c r="S78" s="440"/>
      <c r="T78" s="338"/>
      <c r="U78" s="338"/>
      <c r="V78" s="338"/>
      <c r="W78" s="338"/>
      <c r="X78" s="338"/>
      <c r="Y78" s="338"/>
      <c r="Z78" s="338"/>
      <c r="AA78" s="338"/>
      <c r="AB78" s="338"/>
      <c r="AC78" s="338"/>
      <c r="AD78" s="338"/>
      <c r="AE78" s="338"/>
      <c r="AF78" s="338"/>
      <c r="AG78" s="338"/>
      <c r="AH78" s="338"/>
      <c r="AI78" s="338"/>
      <c r="AJ78" s="338"/>
      <c r="AK78" s="338"/>
      <c r="AL78" s="338"/>
      <c r="AM78" s="338"/>
      <c r="AN78" s="338"/>
      <c r="AO78" s="338"/>
      <c r="AP78" s="338"/>
      <c r="AQ78" s="338"/>
      <c r="AR78" s="338"/>
      <c r="AS78" s="338"/>
      <c r="AT78" s="338"/>
      <c r="AU78" s="338"/>
      <c r="AV78" s="338"/>
      <c r="AW78" s="338"/>
      <c r="AX78" s="338"/>
      <c r="AY78" s="338"/>
      <c r="AZ78" s="338"/>
      <c r="BA78" s="338"/>
      <c r="BB78" s="338"/>
      <c r="BC78" s="338"/>
      <c r="BD78" s="341">
        <v>1</v>
      </c>
    </row>
    <row r="79" spans="2:56" ht="21" customHeight="1" x14ac:dyDescent="0.25">
      <c r="B79" s="980"/>
      <c r="C79" s="444"/>
      <c r="D79" s="442"/>
      <c r="E79" s="363"/>
      <c r="F79" s="363"/>
      <c r="G79" s="363"/>
      <c r="H79" s="368"/>
      <c r="I79" s="338"/>
      <c r="J79" s="445" t="s">
        <v>4552</v>
      </c>
      <c r="K79" s="338"/>
      <c r="L79" s="338"/>
      <c r="M79" s="338"/>
      <c r="N79" s="969"/>
      <c r="O79" s="340"/>
      <c r="P79" s="340"/>
      <c r="Q79" s="340" t="s">
        <v>2166</v>
      </c>
      <c r="R79" s="446" t="str">
        <f>MID(Q75,R77,R78)</f>
        <v>4522</v>
      </c>
      <c r="S79" s="440"/>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8"/>
      <c r="AS79" s="338"/>
      <c r="AT79" s="338"/>
      <c r="AU79" s="338"/>
      <c r="AV79" s="338"/>
      <c r="AW79" s="338"/>
      <c r="AX79" s="338"/>
      <c r="AY79" s="338"/>
      <c r="AZ79" s="338"/>
      <c r="BA79" s="338"/>
      <c r="BB79" s="338"/>
      <c r="BC79" s="338"/>
      <c r="BD79" s="341">
        <v>1</v>
      </c>
    </row>
    <row r="80" spans="2:56" ht="21" customHeight="1" x14ac:dyDescent="0.25">
      <c r="B80" s="980"/>
      <c r="C80" s="441" t="str">
        <f>HYPERLINK("#c131",_xlfn.UNICHAR(128269)&amp;"La bas")</f>
        <v>🔍La bas</v>
      </c>
      <c r="D80" s="442" t="str">
        <f ca="1">_xlfn.FORMULATEXT(C80)</f>
        <v>=LIEN_HYPERTEXTE("#c131";UNICAR(128269)&amp;"La bas")</v>
      </c>
      <c r="E80" s="363"/>
      <c r="F80" s="363"/>
      <c r="G80" s="363"/>
      <c r="H80" s="368"/>
      <c r="I80" s="338"/>
      <c r="J80" s="447" t="s">
        <v>4553</v>
      </c>
      <c r="K80" s="338"/>
      <c r="L80" s="338"/>
      <c r="M80" s="338"/>
      <c r="N80" s="969"/>
      <c r="O80" s="340"/>
      <c r="P80" s="340"/>
      <c r="Q80" s="340"/>
      <c r="R80" s="340"/>
      <c r="S80" s="440"/>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38"/>
      <c r="BA80" s="338"/>
      <c r="BB80" s="338"/>
      <c r="BC80" s="338"/>
      <c r="BD80" s="341">
        <v>1</v>
      </c>
    </row>
    <row r="81" spans="2:56" ht="21" customHeight="1" x14ac:dyDescent="0.25">
      <c r="B81" s="980"/>
      <c r="C81" s="444"/>
      <c r="D81" s="442"/>
      <c r="E81" s="363"/>
      <c r="F81" s="363"/>
      <c r="G81" s="363"/>
      <c r="H81" s="368"/>
      <c r="I81" s="338"/>
      <c r="J81" s="448" t="s">
        <v>4554</v>
      </c>
      <c r="K81" s="338"/>
      <c r="L81" s="338"/>
      <c r="M81" s="338"/>
      <c r="N81" s="969"/>
      <c r="O81" s="971" t="s">
        <v>4555</v>
      </c>
      <c r="P81" s="971"/>
      <c r="Q81" s="971"/>
      <c r="R81" s="971"/>
      <c r="S81" s="972"/>
      <c r="T81" s="338"/>
      <c r="U81" s="338"/>
      <c r="V81" s="338"/>
      <c r="W81" s="338"/>
      <c r="X81" s="338"/>
      <c r="Y81" s="338"/>
      <c r="Z81" s="338"/>
      <c r="AA81" s="338"/>
      <c r="AB81" s="338"/>
      <c r="AC81" s="338"/>
      <c r="AD81" s="338"/>
      <c r="AE81" s="338"/>
      <c r="AF81" s="338"/>
      <c r="AG81" s="338"/>
      <c r="AH81" s="338"/>
      <c r="AI81" s="338"/>
      <c r="AJ81" s="338"/>
      <c r="AK81" s="338"/>
      <c r="AL81" s="338"/>
      <c r="AM81" s="338"/>
      <c r="AN81" s="338"/>
      <c r="AO81" s="338"/>
      <c r="AP81" s="338"/>
      <c r="AQ81" s="338"/>
      <c r="AR81" s="338"/>
      <c r="AS81" s="338"/>
      <c r="AT81" s="338"/>
      <c r="AU81" s="338"/>
      <c r="AV81" s="338"/>
      <c r="AW81" s="338"/>
      <c r="AX81" s="338"/>
      <c r="AY81" s="338"/>
      <c r="AZ81" s="338"/>
      <c r="BA81" s="338"/>
      <c r="BB81" s="338"/>
      <c r="BC81" s="338"/>
      <c r="BD81" s="341">
        <v>1</v>
      </c>
    </row>
    <row r="82" spans="2:56" ht="21" customHeight="1" x14ac:dyDescent="0.25">
      <c r="B82" s="980"/>
      <c r="C82" s="449" t="str">
        <f>HYPERLINK("# c131"," 🔗 Cliquez")</f>
        <v xml:space="preserve"> 🔗 Cliquez</v>
      </c>
      <c r="D82" s="442" t="str">
        <f ca="1">_xlfn.FORMULATEXT(C82)</f>
        <v>=LIEN_HYPERTEXTE("# c131";" 🔗 Cliquez")</v>
      </c>
      <c r="E82" s="363"/>
      <c r="F82" s="363"/>
      <c r="G82" s="363"/>
      <c r="H82" s="368"/>
      <c r="I82" s="338"/>
      <c r="J82" s="450" t="s">
        <v>4556</v>
      </c>
      <c r="K82" s="338"/>
      <c r="L82" s="338"/>
      <c r="M82" s="338"/>
      <c r="N82" s="969"/>
      <c r="O82" s="971"/>
      <c r="P82" s="971"/>
      <c r="Q82" s="971"/>
      <c r="R82" s="971"/>
      <c r="S82" s="972"/>
      <c r="T82" s="338"/>
      <c r="U82" s="338"/>
      <c r="V82" s="338"/>
      <c r="W82" s="338"/>
      <c r="X82" s="338"/>
      <c r="Y82" s="338"/>
      <c r="Z82" s="338"/>
      <c r="AA82" s="338"/>
      <c r="AB82" s="338"/>
      <c r="AC82" s="338"/>
      <c r="AD82" s="338"/>
      <c r="AE82" s="338"/>
      <c r="AF82" s="338"/>
      <c r="AG82" s="338"/>
      <c r="AH82" s="338"/>
      <c r="AI82" s="338"/>
      <c r="AJ82" s="338"/>
      <c r="AK82" s="338"/>
      <c r="AL82" s="338"/>
      <c r="AM82" s="338"/>
      <c r="AN82" s="338"/>
      <c r="AO82" s="338"/>
      <c r="AP82" s="338"/>
      <c r="AQ82" s="338"/>
      <c r="AR82" s="338"/>
      <c r="AS82" s="338"/>
      <c r="AT82" s="338"/>
      <c r="AU82" s="338"/>
      <c r="AV82" s="338"/>
      <c r="AW82" s="338"/>
      <c r="AX82" s="338"/>
      <c r="AY82" s="338"/>
      <c r="AZ82" s="338"/>
      <c r="BA82" s="338"/>
      <c r="BB82" s="338"/>
      <c r="BC82" s="338"/>
      <c r="BD82" s="341">
        <v>1</v>
      </c>
    </row>
    <row r="83" spans="2:56" ht="21" customHeight="1" x14ac:dyDescent="0.25">
      <c r="B83" s="980"/>
      <c r="C83" s="363"/>
      <c r="D83" s="363"/>
      <c r="E83" s="363"/>
      <c r="F83" s="363"/>
      <c r="G83" s="363"/>
      <c r="H83" s="368"/>
      <c r="I83" s="338"/>
      <c r="J83" s="451" t="s">
        <v>4557</v>
      </c>
      <c r="K83" s="338"/>
      <c r="L83" s="338"/>
      <c r="M83" s="338"/>
      <c r="N83" s="969"/>
      <c r="O83" s="452">
        <v>11</v>
      </c>
      <c r="P83" s="452">
        <v>11</v>
      </c>
      <c r="Q83" s="452">
        <v>11</v>
      </c>
      <c r="R83" s="452">
        <v>11</v>
      </c>
      <c r="S83" s="453">
        <v>11</v>
      </c>
      <c r="T83" s="338"/>
      <c r="U83" s="338"/>
      <c r="V83" s="338"/>
      <c r="W83" s="338"/>
      <c r="X83" s="338"/>
      <c r="Y83" s="338"/>
      <c r="Z83" s="338"/>
      <c r="AA83" s="338"/>
      <c r="AB83" s="338"/>
      <c r="AC83" s="338"/>
      <c r="AD83" s="338"/>
      <c r="AE83" s="338"/>
      <c r="AF83" s="338"/>
      <c r="AG83" s="338"/>
      <c r="AH83" s="338"/>
      <c r="AI83" s="338"/>
      <c r="AJ83" s="338"/>
      <c r="AK83" s="338"/>
      <c r="AL83" s="338"/>
      <c r="AM83" s="338"/>
      <c r="AN83" s="338"/>
      <c r="AO83" s="338"/>
      <c r="AP83" s="338"/>
      <c r="AQ83" s="338"/>
      <c r="AR83" s="338"/>
      <c r="AS83" s="338"/>
      <c r="AT83" s="338"/>
      <c r="AU83" s="338"/>
      <c r="AV83" s="338"/>
      <c r="AW83" s="338"/>
      <c r="AX83" s="338"/>
      <c r="AY83" s="338"/>
      <c r="AZ83" s="338"/>
      <c r="BA83" s="338"/>
      <c r="BB83" s="338"/>
      <c r="BC83" s="338"/>
      <c r="BD83" s="341">
        <v>1</v>
      </c>
    </row>
    <row r="84" spans="2:56" ht="21" customHeight="1" thickBot="1" x14ac:dyDescent="0.3">
      <c r="B84" s="980"/>
      <c r="C84" s="373" t="s">
        <v>4558</v>
      </c>
      <c r="D84" s="363"/>
      <c r="E84" s="363"/>
      <c r="F84" s="363"/>
      <c r="G84" s="363"/>
      <c r="H84" s="368"/>
      <c r="I84" s="338"/>
      <c r="J84" s="454" t="s">
        <v>4559</v>
      </c>
      <c r="K84" s="338"/>
      <c r="L84" s="338"/>
      <c r="M84" s="338"/>
      <c r="N84" s="970"/>
      <c r="O84" s="416">
        <f t="shared" ref="O84:S84" ca="1" si="7">INDEX(CELL("largeur",O84),1,1)</f>
        <v>16</v>
      </c>
      <c r="P84" s="416">
        <f t="shared" ca="1" si="7"/>
        <v>16</v>
      </c>
      <c r="Q84" s="416">
        <f t="shared" ca="1" si="7"/>
        <v>11</v>
      </c>
      <c r="R84" s="416">
        <f t="shared" ca="1" si="7"/>
        <v>11</v>
      </c>
      <c r="S84" s="417">
        <f t="shared" ca="1" si="7"/>
        <v>11</v>
      </c>
      <c r="T84" s="338"/>
      <c r="U84" s="338"/>
      <c r="V84" s="338"/>
      <c r="W84" s="338"/>
      <c r="X84" s="338"/>
      <c r="Y84" s="338"/>
      <c r="Z84" s="338"/>
      <c r="AA84" s="338"/>
      <c r="AB84" s="338"/>
      <c r="AC84" s="338"/>
      <c r="AD84" s="338"/>
      <c r="AE84" s="338"/>
      <c r="AF84" s="338"/>
      <c r="AG84" s="338"/>
      <c r="AH84" s="338"/>
      <c r="AI84" s="338"/>
      <c r="AJ84" s="338"/>
      <c r="AK84" s="338"/>
      <c r="AL84" s="338"/>
      <c r="AM84" s="338"/>
      <c r="AN84" s="338"/>
      <c r="AO84" s="338"/>
      <c r="AP84" s="338"/>
      <c r="AQ84" s="338"/>
      <c r="AR84" s="338"/>
      <c r="AS84" s="338"/>
      <c r="AT84" s="338"/>
      <c r="AU84" s="338"/>
      <c r="AV84" s="338"/>
      <c r="AW84" s="338"/>
      <c r="AX84" s="338"/>
      <c r="AY84" s="338"/>
      <c r="AZ84" s="338"/>
      <c r="BA84" s="338"/>
      <c r="BB84" s="338"/>
      <c r="BC84" s="338"/>
      <c r="BD84" s="341">
        <v>1</v>
      </c>
    </row>
    <row r="85" spans="2:56" ht="21" customHeight="1" x14ac:dyDescent="0.3">
      <c r="B85" s="980"/>
      <c r="C85" s="455" t="s">
        <v>4560</v>
      </c>
      <c r="D85" s="363"/>
      <c r="E85" s="363"/>
      <c r="F85" s="363"/>
      <c r="G85" s="363"/>
      <c r="H85" s="368"/>
      <c r="I85" s="338"/>
      <c r="J85" s="456" t="s">
        <v>4561</v>
      </c>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8"/>
      <c r="AL85" s="338"/>
      <c r="AM85" s="338"/>
      <c r="AN85" s="338"/>
      <c r="AO85" s="338"/>
      <c r="AP85" s="338"/>
      <c r="AQ85" s="338"/>
      <c r="AR85" s="338"/>
      <c r="AS85" s="338"/>
      <c r="AT85" s="338"/>
      <c r="AU85" s="338"/>
      <c r="AV85" s="338"/>
      <c r="AW85" s="338"/>
      <c r="AX85" s="338"/>
      <c r="AY85" s="338"/>
      <c r="AZ85" s="338"/>
      <c r="BA85" s="338"/>
      <c r="BB85" s="338"/>
      <c r="BC85" s="338"/>
      <c r="BD85" s="341">
        <v>1</v>
      </c>
    </row>
    <row r="86" spans="2:56" ht="21" customHeight="1" x14ac:dyDescent="0.25">
      <c r="B86" s="980"/>
      <c r="C86" s="457"/>
      <c r="D86" s="363"/>
      <c r="E86" s="363"/>
      <c r="F86" s="363"/>
      <c r="G86" s="363"/>
      <c r="H86" s="368"/>
      <c r="I86" s="338"/>
      <c r="J86" s="458" t="s">
        <v>4562</v>
      </c>
      <c r="K86" s="338"/>
      <c r="L86" s="338"/>
      <c r="M86" s="338"/>
      <c r="N86" s="338"/>
      <c r="O86" s="338"/>
      <c r="P86" s="338"/>
      <c r="Q86" s="338"/>
      <c r="R86" s="338"/>
      <c r="S86" s="338"/>
      <c r="T86" s="338"/>
      <c r="U86" s="338"/>
      <c r="V86" s="338"/>
      <c r="W86" s="338"/>
      <c r="X86" s="338"/>
      <c r="Y86" s="338"/>
      <c r="Z86" s="338"/>
      <c r="AA86" s="338"/>
      <c r="AB86" s="338"/>
      <c r="AC86" s="338"/>
      <c r="AD86" s="338"/>
      <c r="AE86" s="338"/>
      <c r="AF86" s="338"/>
      <c r="AG86" s="338"/>
      <c r="AH86" s="338"/>
      <c r="AI86" s="338"/>
      <c r="AJ86" s="338"/>
      <c r="AK86" s="338"/>
      <c r="AL86" s="338"/>
      <c r="AM86" s="338"/>
      <c r="AN86" s="338"/>
      <c r="AO86" s="338"/>
      <c r="AP86" s="338"/>
      <c r="AQ86" s="338"/>
      <c r="AR86" s="338"/>
      <c r="AS86" s="338"/>
      <c r="AT86" s="338"/>
      <c r="AU86" s="338"/>
      <c r="AV86" s="338"/>
      <c r="AW86" s="338"/>
      <c r="AX86" s="338"/>
      <c r="AY86" s="338"/>
      <c r="AZ86" s="338"/>
      <c r="BA86" s="338"/>
      <c r="BB86" s="338"/>
      <c r="BC86" s="338"/>
      <c r="BD86" s="341">
        <v>1</v>
      </c>
    </row>
    <row r="87" spans="2:56" ht="21" customHeight="1" x14ac:dyDescent="0.25">
      <c r="B87" s="980"/>
      <c r="C87" s="459" t="s">
        <v>4563</v>
      </c>
      <c r="D87" s="363"/>
      <c r="E87" s="363"/>
      <c r="F87" s="363"/>
      <c r="G87" s="363"/>
      <c r="H87" s="368"/>
      <c r="I87" s="338"/>
      <c r="J87" s="460" t="s">
        <v>4564</v>
      </c>
      <c r="K87" s="338"/>
      <c r="L87" s="338"/>
      <c r="M87" s="338"/>
      <c r="N87" s="461" t="s">
        <v>4565</v>
      </c>
      <c r="O87" s="973" t="s">
        <v>4566</v>
      </c>
      <c r="P87" s="973"/>
      <c r="Q87" s="973"/>
      <c r="R87" s="973"/>
      <c r="S87" s="973"/>
      <c r="T87" s="973"/>
      <c r="U87" s="973"/>
      <c r="V87" s="338"/>
      <c r="W87" s="338"/>
      <c r="X87" s="338"/>
      <c r="Y87" s="338"/>
      <c r="Z87" s="338"/>
      <c r="AA87" s="338"/>
      <c r="AB87" s="338"/>
      <c r="AC87" s="338"/>
      <c r="AD87" s="338"/>
      <c r="AE87" s="338"/>
      <c r="AF87" s="338"/>
      <c r="AG87" s="338"/>
      <c r="AH87" s="338"/>
      <c r="AI87" s="338"/>
      <c r="AJ87" s="338"/>
      <c r="AK87" s="338"/>
      <c r="AL87" s="338"/>
      <c r="AM87" s="338"/>
      <c r="AN87" s="338"/>
      <c r="AO87" s="338"/>
      <c r="AP87" s="338"/>
      <c r="AQ87" s="338"/>
      <c r="AR87" s="338"/>
      <c r="AS87" s="338"/>
      <c r="AT87" s="338"/>
      <c r="AU87" s="338"/>
      <c r="AV87" s="338"/>
      <c r="AW87" s="338"/>
      <c r="AX87" s="338"/>
      <c r="AY87" s="338"/>
      <c r="AZ87" s="338"/>
      <c r="BA87" s="338"/>
      <c r="BB87" s="338"/>
      <c r="BC87" s="338"/>
      <c r="BD87" s="341">
        <v>1</v>
      </c>
    </row>
    <row r="88" spans="2:56" ht="21" customHeight="1" x14ac:dyDescent="0.25">
      <c r="B88" s="980"/>
      <c r="C88" s="363"/>
      <c r="D88" s="363"/>
      <c r="E88" s="363"/>
      <c r="F88" s="363"/>
      <c r="G88" s="363"/>
      <c r="H88" s="368"/>
      <c r="I88" s="338"/>
      <c r="J88" s="462" t="s">
        <v>4567</v>
      </c>
      <c r="K88" s="338"/>
      <c r="L88" s="338"/>
      <c r="M88" s="338"/>
      <c r="N88" s="461" t="s">
        <v>4565</v>
      </c>
      <c r="O88" s="973" t="s">
        <v>4568</v>
      </c>
      <c r="P88" s="973"/>
      <c r="Q88" s="973"/>
      <c r="R88" s="973"/>
      <c r="S88" s="973"/>
      <c r="T88" s="973"/>
      <c r="U88" s="973"/>
      <c r="V88" s="338"/>
      <c r="W88" s="338"/>
      <c r="X88" s="338"/>
      <c r="Y88" s="338"/>
      <c r="Z88" s="338"/>
      <c r="AA88" s="338"/>
      <c r="AB88" s="338"/>
      <c r="AC88" s="338"/>
      <c r="AD88" s="338"/>
      <c r="AE88" s="338"/>
      <c r="AF88" s="338"/>
      <c r="AG88" s="338"/>
      <c r="AH88" s="338"/>
      <c r="AI88" s="338"/>
      <c r="AJ88" s="338"/>
      <c r="AK88" s="338"/>
      <c r="AL88" s="338"/>
      <c r="AM88" s="338"/>
      <c r="AN88" s="338"/>
      <c r="AO88" s="338"/>
      <c r="AP88" s="338"/>
      <c r="AQ88" s="338"/>
      <c r="AR88" s="338"/>
      <c r="AS88" s="338"/>
      <c r="AT88" s="338"/>
      <c r="AU88" s="338"/>
      <c r="AV88" s="338"/>
      <c r="AW88" s="338"/>
      <c r="AX88" s="338"/>
      <c r="AY88" s="338"/>
      <c r="AZ88" s="338"/>
      <c r="BA88" s="338"/>
      <c r="BB88" s="338"/>
      <c r="BC88" s="338"/>
      <c r="BD88" s="341">
        <v>1</v>
      </c>
    </row>
    <row r="89" spans="2:56" ht="21" customHeight="1" x14ac:dyDescent="0.25">
      <c r="B89" s="980"/>
      <c r="C89" s="363" t="s">
        <v>4569</v>
      </c>
      <c r="D89" s="363" t="s">
        <v>4570</v>
      </c>
      <c r="E89" s="363"/>
      <c r="F89" s="363"/>
      <c r="G89" s="363"/>
      <c r="H89" s="368"/>
      <c r="I89" s="338"/>
      <c r="J89" s="463" t="s">
        <v>4571</v>
      </c>
      <c r="K89" s="338"/>
      <c r="L89" s="338"/>
      <c r="M89" s="338"/>
      <c r="N89" s="338"/>
      <c r="O89" s="338"/>
      <c r="P89" s="338"/>
      <c r="Q89" s="338"/>
      <c r="R89" s="338"/>
      <c r="S89" s="338"/>
      <c r="T89" s="338"/>
      <c r="U89" s="338"/>
      <c r="V89" s="338"/>
      <c r="W89" s="338"/>
      <c r="X89" s="338"/>
      <c r="Y89" s="338"/>
      <c r="Z89" s="338"/>
      <c r="AA89" s="338"/>
      <c r="AB89" s="338"/>
      <c r="AC89" s="338"/>
      <c r="AD89" s="338"/>
      <c r="AE89" s="338"/>
      <c r="AF89" s="338"/>
      <c r="AG89" s="338"/>
      <c r="AH89" s="338"/>
      <c r="AI89" s="338"/>
      <c r="AJ89" s="338"/>
      <c r="AK89" s="338"/>
      <c r="AL89" s="338"/>
      <c r="AM89" s="338"/>
      <c r="AN89" s="338"/>
      <c r="AO89" s="338"/>
      <c r="AP89" s="338"/>
      <c r="AQ89" s="338"/>
      <c r="AR89" s="338"/>
      <c r="AS89" s="338"/>
      <c r="AT89" s="338"/>
      <c r="AU89" s="338"/>
      <c r="AV89" s="338"/>
      <c r="AW89" s="338"/>
      <c r="AX89" s="338"/>
      <c r="AY89" s="338"/>
      <c r="AZ89" s="338"/>
      <c r="BA89" s="338"/>
      <c r="BB89" s="338"/>
      <c r="BC89" s="338"/>
      <c r="BD89" s="341">
        <v>1</v>
      </c>
    </row>
    <row r="90" spans="2:56" ht="21" customHeight="1" x14ac:dyDescent="0.25">
      <c r="B90" s="980"/>
      <c r="C90" s="363"/>
      <c r="D90" s="363"/>
      <c r="E90" s="363"/>
      <c r="F90" s="363"/>
      <c r="G90" s="363"/>
      <c r="H90" s="368"/>
      <c r="I90" s="338"/>
      <c r="J90" s="464" t="s">
        <v>4572</v>
      </c>
      <c r="K90" s="338"/>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338"/>
      <c r="AI90" s="338"/>
      <c r="AJ90" s="338"/>
      <c r="AK90" s="338"/>
      <c r="AL90" s="338"/>
      <c r="AM90" s="338"/>
      <c r="AN90" s="338"/>
      <c r="AO90" s="338"/>
      <c r="AP90" s="338"/>
      <c r="AQ90" s="338"/>
      <c r="AR90" s="338"/>
      <c r="AS90" s="338"/>
      <c r="AT90" s="338"/>
      <c r="AU90" s="338"/>
      <c r="AV90" s="338"/>
      <c r="AW90" s="338"/>
      <c r="AX90" s="338"/>
      <c r="AY90" s="338"/>
      <c r="AZ90" s="338"/>
      <c r="BA90" s="338"/>
      <c r="BB90" s="338"/>
      <c r="BC90" s="338"/>
      <c r="BD90" s="341">
        <v>1</v>
      </c>
    </row>
    <row r="91" spans="2:56" ht="21" customHeight="1" x14ac:dyDescent="0.25">
      <c r="B91" s="980"/>
      <c r="C91" s="363" t="s">
        <v>4573</v>
      </c>
      <c r="D91" s="363"/>
      <c r="E91" s="363"/>
      <c r="F91" s="363"/>
      <c r="G91" s="363"/>
      <c r="H91" s="368"/>
      <c r="I91" s="338"/>
      <c r="J91" s="465" t="s">
        <v>4574</v>
      </c>
      <c r="K91" s="338"/>
      <c r="L91" s="338"/>
      <c r="M91" s="338"/>
      <c r="N91" s="338"/>
      <c r="O91" s="338"/>
      <c r="P91" s="338"/>
      <c r="Q91" s="338"/>
      <c r="R91" s="338"/>
      <c r="S91" s="338"/>
      <c r="T91" s="338"/>
      <c r="U91" s="338"/>
      <c r="V91" s="338"/>
      <c r="W91" s="338"/>
      <c r="X91" s="338"/>
      <c r="Y91" s="338"/>
      <c r="Z91" s="338"/>
      <c r="AA91" s="338"/>
      <c r="AB91" s="338"/>
      <c r="AC91" s="338"/>
      <c r="AD91" s="338"/>
      <c r="AE91" s="338"/>
      <c r="AF91" s="338"/>
      <c r="AG91" s="338"/>
      <c r="AH91" s="338"/>
      <c r="AI91" s="338"/>
      <c r="AJ91" s="338"/>
      <c r="AK91" s="338"/>
      <c r="AL91" s="338"/>
      <c r="AM91" s="338"/>
      <c r="AN91" s="338"/>
      <c r="AO91" s="338"/>
      <c r="AP91" s="338"/>
      <c r="AQ91" s="338"/>
      <c r="AR91" s="338"/>
      <c r="AS91" s="338"/>
      <c r="AT91" s="338"/>
      <c r="AU91" s="338"/>
      <c r="AV91" s="338"/>
      <c r="AW91" s="338"/>
      <c r="AX91" s="338"/>
      <c r="AY91" s="338"/>
      <c r="AZ91" s="338"/>
      <c r="BA91" s="338"/>
      <c r="BB91" s="338"/>
      <c r="BC91" s="338"/>
      <c r="BD91" s="341">
        <v>1</v>
      </c>
    </row>
    <row r="92" spans="2:56" ht="21" customHeight="1" x14ac:dyDescent="0.25">
      <c r="B92" s="980"/>
      <c r="C92" s="363"/>
      <c r="D92" s="466" t="s">
        <v>4575</v>
      </c>
      <c r="E92" s="363"/>
      <c r="F92" s="466" t="s">
        <v>4576</v>
      </c>
      <c r="G92" s="363"/>
      <c r="H92" s="368" t="s">
        <v>2459</v>
      </c>
      <c r="I92" s="338"/>
      <c r="J92" s="467" t="s">
        <v>4577</v>
      </c>
      <c r="K92" s="338"/>
      <c r="L92" s="338"/>
      <c r="M92" s="338"/>
      <c r="N92" s="338"/>
      <c r="O92" s="338"/>
      <c r="P92" s="338"/>
      <c r="Q92" s="338"/>
      <c r="R92" s="338"/>
      <c r="S92" s="338"/>
      <c r="T92" s="338"/>
      <c r="U92" s="338"/>
      <c r="V92" s="338"/>
      <c r="W92" s="338"/>
      <c r="X92" s="338"/>
      <c r="Y92" s="338"/>
      <c r="Z92" s="338"/>
      <c r="AA92" s="338"/>
      <c r="AB92" s="338"/>
      <c r="AC92" s="338"/>
      <c r="AD92" s="338"/>
      <c r="AE92" s="338"/>
      <c r="AF92" s="338"/>
      <c r="AG92" s="338"/>
      <c r="AH92" s="338"/>
      <c r="AI92" s="338"/>
      <c r="AJ92" s="338"/>
      <c r="AK92" s="338"/>
      <c r="AL92" s="338"/>
      <c r="AM92" s="338"/>
      <c r="AN92" s="338"/>
      <c r="AO92" s="338"/>
      <c r="AP92" s="338"/>
      <c r="AQ92" s="338"/>
      <c r="AR92" s="338"/>
      <c r="AS92" s="338"/>
      <c r="AT92" s="338"/>
      <c r="AU92" s="338"/>
      <c r="AV92" s="338"/>
      <c r="AW92" s="338"/>
      <c r="AX92" s="338"/>
      <c r="AY92" s="338"/>
      <c r="AZ92" s="338"/>
      <c r="BA92" s="338"/>
      <c r="BB92" s="338"/>
      <c r="BC92" s="338"/>
      <c r="BD92" s="341">
        <v>1</v>
      </c>
    </row>
    <row r="93" spans="2:56" ht="21" customHeight="1" x14ac:dyDescent="0.25">
      <c r="B93" s="980"/>
      <c r="C93" s="363" t="s">
        <v>4578</v>
      </c>
      <c r="D93" s="363"/>
      <c r="E93" s="363"/>
      <c r="F93" s="363"/>
      <c r="G93" s="363"/>
      <c r="H93" s="368"/>
      <c r="I93" s="338"/>
      <c r="J93" s="468" t="s">
        <v>4579</v>
      </c>
      <c r="K93" s="338"/>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c r="AR93" s="338"/>
      <c r="AS93" s="338"/>
      <c r="AT93" s="338"/>
      <c r="AU93" s="338"/>
      <c r="AV93" s="338"/>
      <c r="AW93" s="338"/>
      <c r="AX93" s="338"/>
      <c r="AY93" s="338"/>
      <c r="AZ93" s="338"/>
      <c r="BA93" s="338"/>
      <c r="BB93" s="338"/>
      <c r="BC93" s="338"/>
      <c r="BD93" s="341">
        <v>1</v>
      </c>
    </row>
    <row r="94" spans="2:56" ht="21" customHeight="1" x14ac:dyDescent="0.25">
      <c r="B94" s="980"/>
      <c r="C94" s="363"/>
      <c r="D94" s="466" t="s">
        <v>4580</v>
      </c>
      <c r="E94" s="363"/>
      <c r="F94" s="466" t="s">
        <v>4581</v>
      </c>
      <c r="G94" s="363"/>
      <c r="H94" s="368"/>
      <c r="I94" s="338"/>
      <c r="J94" s="469" t="s">
        <v>4582</v>
      </c>
      <c r="K94" s="338"/>
      <c r="L94" s="338"/>
      <c r="M94" s="338"/>
      <c r="N94" s="338"/>
      <c r="O94" s="338"/>
      <c r="P94" s="338"/>
      <c r="Q94" s="338"/>
      <c r="R94" s="338"/>
      <c r="S94" s="338"/>
      <c r="T94" s="338"/>
      <c r="U94" s="338"/>
      <c r="V94" s="338"/>
      <c r="W94" s="338"/>
      <c r="X94" s="338"/>
      <c r="Y94" s="338"/>
      <c r="Z94" s="338"/>
      <c r="AA94" s="338"/>
      <c r="AB94" s="338"/>
      <c r="AC94" s="338"/>
      <c r="AD94" s="338"/>
      <c r="AE94" s="338"/>
      <c r="AF94" s="338"/>
      <c r="AG94" s="338"/>
      <c r="AH94" s="338"/>
      <c r="AI94" s="338"/>
      <c r="AJ94" s="338"/>
      <c r="AK94" s="338"/>
      <c r="AL94" s="338"/>
      <c r="AM94" s="338"/>
      <c r="AN94" s="338"/>
      <c r="AO94" s="338"/>
      <c r="AP94" s="338"/>
      <c r="AQ94" s="338"/>
      <c r="AR94" s="338"/>
      <c r="AS94" s="338"/>
      <c r="AT94" s="338"/>
      <c r="AU94" s="338"/>
      <c r="AV94" s="338"/>
      <c r="AW94" s="338"/>
      <c r="AX94" s="338"/>
      <c r="AY94" s="338"/>
      <c r="AZ94" s="338"/>
      <c r="BA94" s="338"/>
      <c r="BB94" s="338"/>
      <c r="BC94" s="338"/>
      <c r="BD94" s="341">
        <v>1</v>
      </c>
    </row>
    <row r="95" spans="2:56" ht="21" customHeight="1" x14ac:dyDescent="0.25">
      <c r="B95" s="980"/>
      <c r="C95" s="363"/>
      <c r="D95" s="466"/>
      <c r="E95" s="363"/>
      <c r="F95" s="466"/>
      <c r="G95" s="363"/>
      <c r="H95" s="368"/>
      <c r="I95" s="338"/>
      <c r="J95" s="470" t="s">
        <v>4583</v>
      </c>
      <c r="K95" s="338"/>
      <c r="L95" s="338"/>
      <c r="M95" s="338"/>
      <c r="N95" s="338"/>
      <c r="O95" s="338"/>
      <c r="P95" s="338"/>
      <c r="Q95" s="338"/>
      <c r="R95" s="338"/>
      <c r="S95" s="338"/>
      <c r="T95" s="338"/>
      <c r="U95" s="338"/>
      <c r="V95" s="338"/>
      <c r="W95" s="338"/>
      <c r="X95" s="338"/>
      <c r="Y95" s="338"/>
      <c r="Z95" s="338"/>
      <c r="AA95" s="338"/>
      <c r="AB95" s="338"/>
      <c r="AC95" s="338"/>
      <c r="AD95" s="338"/>
      <c r="AE95" s="338"/>
      <c r="AF95" s="338"/>
      <c r="AG95" s="338"/>
      <c r="AH95" s="338"/>
      <c r="AI95" s="338"/>
      <c r="AJ95" s="338"/>
      <c r="AK95" s="338"/>
      <c r="AL95" s="338"/>
      <c r="AM95" s="338"/>
      <c r="AN95" s="338"/>
      <c r="AO95" s="338"/>
      <c r="AP95" s="338"/>
      <c r="AQ95" s="338"/>
      <c r="AR95" s="338"/>
      <c r="AS95" s="338"/>
      <c r="AT95" s="338"/>
      <c r="AU95" s="338"/>
      <c r="AV95" s="338"/>
      <c r="AW95" s="338"/>
      <c r="AX95" s="338"/>
      <c r="AY95" s="338"/>
      <c r="AZ95" s="338"/>
      <c r="BA95" s="338"/>
      <c r="BB95" s="338"/>
      <c r="BC95" s="338"/>
      <c r="BD95" s="341">
        <v>1</v>
      </c>
    </row>
    <row r="96" spans="2:56" ht="21" customHeight="1" x14ac:dyDescent="0.25">
      <c r="B96" s="980"/>
      <c r="C96" s="363"/>
      <c r="D96" s="466"/>
      <c r="E96" s="413" t="s">
        <v>4584</v>
      </c>
      <c r="F96" s="466" t="s">
        <v>4585</v>
      </c>
      <c r="G96" s="363"/>
      <c r="H96" s="368"/>
      <c r="I96" s="338"/>
      <c r="J96" s="338"/>
      <c r="K96" s="338"/>
      <c r="L96" s="338"/>
      <c r="M96" s="338"/>
      <c r="N96" s="338"/>
      <c r="O96" s="338"/>
      <c r="P96" s="338"/>
      <c r="Q96" s="338"/>
      <c r="R96" s="338"/>
      <c r="S96" s="338"/>
      <c r="T96" s="338"/>
      <c r="U96" s="338"/>
      <c r="V96" s="338"/>
      <c r="W96" s="338"/>
      <c r="X96" s="338"/>
      <c r="Y96" s="338"/>
      <c r="Z96" s="338"/>
      <c r="AA96" s="338"/>
      <c r="AB96" s="338"/>
      <c r="AC96" s="338"/>
      <c r="AD96" s="338"/>
      <c r="AE96" s="338"/>
      <c r="AF96" s="338"/>
      <c r="AG96" s="338"/>
      <c r="AH96" s="338"/>
      <c r="AI96" s="338"/>
      <c r="AJ96" s="338"/>
      <c r="AK96" s="338"/>
      <c r="AL96" s="338"/>
      <c r="AM96" s="338"/>
      <c r="AN96" s="338"/>
      <c r="AO96" s="338"/>
      <c r="AP96" s="338"/>
      <c r="AQ96" s="338"/>
      <c r="AR96" s="338"/>
      <c r="AS96" s="338"/>
      <c r="AT96" s="338"/>
      <c r="AU96" s="338"/>
      <c r="AV96" s="338"/>
      <c r="AW96" s="338"/>
      <c r="AX96" s="338"/>
      <c r="AY96" s="338"/>
      <c r="AZ96" s="338"/>
      <c r="BA96" s="338"/>
      <c r="BB96" s="338"/>
      <c r="BC96" s="338"/>
      <c r="BD96" s="341">
        <v>1</v>
      </c>
    </row>
    <row r="97" spans="1:56" ht="21" customHeight="1" x14ac:dyDescent="0.25">
      <c r="B97" s="980"/>
      <c r="C97" s="363"/>
      <c r="D97" s="466"/>
      <c r="E97" s="363"/>
      <c r="F97" s="466"/>
      <c r="G97" s="363"/>
      <c r="H97" s="368"/>
      <c r="I97" s="338"/>
      <c r="J97" s="338"/>
      <c r="K97" s="338"/>
      <c r="L97" s="338"/>
      <c r="M97" s="338"/>
      <c r="N97" s="338"/>
      <c r="O97" s="338"/>
      <c r="P97" s="338"/>
      <c r="Q97" s="338"/>
      <c r="R97" s="338"/>
      <c r="S97" s="338"/>
      <c r="T97" s="338"/>
      <c r="U97" s="338"/>
      <c r="V97" s="338"/>
      <c r="W97" s="338"/>
      <c r="X97" s="338"/>
      <c r="Y97" s="338"/>
      <c r="Z97" s="338"/>
      <c r="AA97" s="338"/>
      <c r="AB97" s="338"/>
      <c r="AC97" s="338"/>
      <c r="AD97" s="338"/>
      <c r="AE97" s="338"/>
      <c r="AF97" s="338"/>
      <c r="AG97" s="338"/>
      <c r="AH97" s="338"/>
      <c r="AI97" s="338"/>
      <c r="AJ97" s="338"/>
      <c r="AK97" s="338"/>
      <c r="AL97" s="338"/>
      <c r="AM97" s="338"/>
      <c r="AN97" s="338"/>
      <c r="AO97" s="338"/>
      <c r="AP97" s="338"/>
      <c r="AQ97" s="338"/>
      <c r="AR97" s="338"/>
      <c r="AS97" s="338"/>
      <c r="AT97" s="338"/>
      <c r="AU97" s="338"/>
      <c r="AV97" s="338"/>
      <c r="AW97" s="338"/>
      <c r="AX97" s="338"/>
      <c r="AY97" s="338"/>
      <c r="AZ97" s="338"/>
      <c r="BA97" s="338"/>
      <c r="BB97" s="338"/>
      <c r="BC97" s="338"/>
      <c r="BD97" s="341">
        <v>1</v>
      </c>
    </row>
    <row r="98" spans="1:56" ht="21" customHeight="1" x14ac:dyDescent="0.25">
      <c r="B98" s="980"/>
      <c r="C98" s="363" t="s">
        <v>4586</v>
      </c>
      <c r="D98" s="466"/>
      <c r="E98" s="363"/>
      <c r="F98" s="466"/>
      <c r="G98" s="363"/>
      <c r="H98" s="368"/>
      <c r="I98" s="338"/>
      <c r="J98" s="338"/>
      <c r="K98" s="338"/>
      <c r="L98" s="338"/>
      <c r="M98" s="338"/>
      <c r="N98" s="338"/>
      <c r="O98" s="338"/>
      <c r="P98" s="338"/>
      <c r="Q98" s="338"/>
      <c r="R98" s="338"/>
      <c r="S98" s="338"/>
      <c r="T98" s="338"/>
      <c r="U98" s="338"/>
      <c r="V98" s="338"/>
      <c r="W98" s="338"/>
      <c r="X98" s="338"/>
      <c r="Y98" s="338"/>
      <c r="Z98" s="338"/>
      <c r="AA98" s="338"/>
      <c r="AB98" s="338"/>
      <c r="AC98" s="338"/>
      <c r="AD98" s="338"/>
      <c r="AE98" s="338"/>
      <c r="AF98" s="338"/>
      <c r="AG98" s="338"/>
      <c r="AH98" s="338"/>
      <c r="AI98" s="338"/>
      <c r="AJ98" s="338"/>
      <c r="AK98" s="338"/>
      <c r="AL98" s="338"/>
      <c r="AM98" s="338"/>
      <c r="AN98" s="338"/>
      <c r="AO98" s="338"/>
      <c r="AP98" s="338"/>
      <c r="AQ98" s="338"/>
      <c r="AR98" s="338"/>
      <c r="AS98" s="338"/>
      <c r="AT98" s="338"/>
      <c r="AU98" s="338"/>
      <c r="AV98" s="338"/>
      <c r="AW98" s="338"/>
      <c r="AX98" s="338"/>
      <c r="AY98" s="338"/>
      <c r="AZ98" s="338"/>
      <c r="BA98" s="338"/>
      <c r="BB98" s="338"/>
      <c r="BC98" s="338"/>
      <c r="BD98" s="341">
        <v>1</v>
      </c>
    </row>
    <row r="99" spans="1:56" ht="21" customHeight="1" x14ac:dyDescent="0.25">
      <c r="B99" s="980"/>
      <c r="C99" s="363"/>
      <c r="D99" s="466" t="s">
        <v>4587</v>
      </c>
      <c r="E99" s="363"/>
      <c r="F99" s="466"/>
      <c r="G99" s="363"/>
      <c r="H99" s="368" t="s">
        <v>2459</v>
      </c>
      <c r="I99" s="338"/>
      <c r="J99" s="338"/>
      <c r="K99" s="338"/>
      <c r="L99" s="338"/>
      <c r="M99" s="338"/>
      <c r="N99" s="338"/>
      <c r="O99" s="338"/>
      <c r="P99" s="338"/>
      <c r="Q99" s="338"/>
      <c r="R99" s="338"/>
      <c r="S99" s="338"/>
      <c r="T99" s="338"/>
      <c r="U99" s="338"/>
      <c r="V99" s="338"/>
      <c r="W99" s="338"/>
      <c r="X99" s="338"/>
      <c r="Y99" s="338"/>
      <c r="Z99" s="338"/>
      <c r="AA99" s="338"/>
      <c r="AB99" s="338"/>
      <c r="AC99" s="338"/>
      <c r="AD99" s="338"/>
      <c r="AE99" s="338"/>
      <c r="AF99" s="338"/>
      <c r="AG99" s="338"/>
      <c r="AH99" s="338"/>
      <c r="AI99" s="338"/>
      <c r="AJ99" s="338"/>
      <c r="AK99" s="338"/>
      <c r="AL99" s="338"/>
      <c r="AM99" s="338"/>
      <c r="AN99" s="338"/>
      <c r="AO99" s="338"/>
      <c r="AP99" s="338"/>
      <c r="AQ99" s="338"/>
      <c r="AR99" s="338"/>
      <c r="AS99" s="338"/>
      <c r="AT99" s="338"/>
      <c r="AU99" s="338"/>
      <c r="AV99" s="338"/>
      <c r="AW99" s="338"/>
      <c r="AX99" s="338"/>
      <c r="AY99" s="338"/>
      <c r="AZ99" s="338"/>
      <c r="BA99" s="338"/>
      <c r="BB99" s="338"/>
      <c r="BC99" s="338"/>
      <c r="BD99" s="341">
        <v>1</v>
      </c>
    </row>
    <row r="100" spans="1:56" ht="21" customHeight="1" thickBot="1" x14ac:dyDescent="0.3">
      <c r="B100" s="981"/>
      <c r="C100" s="471"/>
      <c r="D100" s="471"/>
      <c r="E100" s="471"/>
      <c r="F100" s="471"/>
      <c r="G100" s="471"/>
      <c r="H100" s="472"/>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338"/>
      <c r="AI100" s="338"/>
      <c r="AJ100" s="338"/>
      <c r="AK100" s="338"/>
      <c r="AL100" s="338"/>
      <c r="AM100" s="338"/>
      <c r="AN100" s="338"/>
      <c r="AO100" s="338"/>
      <c r="AP100" s="338"/>
      <c r="AQ100" s="338"/>
      <c r="AR100" s="338"/>
      <c r="AS100" s="338"/>
      <c r="AT100" s="338"/>
      <c r="AU100" s="338"/>
      <c r="AV100" s="338"/>
      <c r="AW100" s="338"/>
      <c r="AX100" s="338"/>
      <c r="AY100" s="338"/>
      <c r="AZ100" s="338"/>
      <c r="BA100" s="338"/>
      <c r="BB100" s="338"/>
      <c r="BC100" s="338"/>
      <c r="BD100" s="341">
        <v>1</v>
      </c>
    </row>
    <row r="101" spans="1:56" ht="21" customHeight="1" x14ac:dyDescent="0.6">
      <c r="A101" s="338">
        <v>1</v>
      </c>
      <c r="B101" s="338"/>
      <c r="C101" s="354"/>
      <c r="D101" s="354"/>
      <c r="E101" s="354"/>
      <c r="F101" s="354"/>
      <c r="G101" s="354"/>
      <c r="H101" s="473"/>
      <c r="I101" s="473"/>
      <c r="J101" s="474" t="s">
        <v>4588</v>
      </c>
      <c r="K101" s="338"/>
      <c r="L101" s="338"/>
      <c r="M101" s="338"/>
      <c r="N101" s="338"/>
      <c r="O101" s="475" t="s">
        <v>4589</v>
      </c>
      <c r="P101" s="418"/>
      <c r="Q101" s="418"/>
      <c r="R101" s="338"/>
      <c r="S101" s="338">
        <v>1</v>
      </c>
      <c r="T101" s="338"/>
      <c r="U101" s="338"/>
      <c r="V101" s="338"/>
      <c r="W101" s="338"/>
      <c r="X101" s="338"/>
      <c r="Y101" s="338"/>
      <c r="Z101" s="338"/>
      <c r="AA101" s="338"/>
      <c r="AB101" s="338"/>
      <c r="AC101" s="338"/>
      <c r="AD101" s="338"/>
      <c r="AE101" s="338"/>
      <c r="AF101" s="338"/>
      <c r="AG101" s="338"/>
      <c r="AH101" s="338"/>
      <c r="AI101" s="338"/>
      <c r="AJ101" s="338"/>
      <c r="AK101" s="338"/>
      <c r="AL101" s="338"/>
      <c r="AM101" s="338"/>
      <c r="AN101" s="338"/>
      <c r="AO101" s="338"/>
      <c r="AP101" s="338"/>
      <c r="AQ101" s="338"/>
      <c r="AR101" s="338"/>
      <c r="AS101" s="338"/>
      <c r="AT101" s="338"/>
      <c r="AU101" s="338"/>
      <c r="AV101" s="338"/>
      <c r="AW101" s="338"/>
      <c r="AX101" s="338"/>
      <c r="AY101" s="338"/>
      <c r="AZ101" s="338"/>
      <c r="BA101" s="338"/>
      <c r="BB101" s="338"/>
      <c r="BC101" s="338"/>
      <c r="BD101" s="341">
        <v>1</v>
      </c>
    </row>
    <row r="102" spans="1:56" ht="21" customHeight="1" x14ac:dyDescent="0.25">
      <c r="A102" s="338">
        <v>1</v>
      </c>
      <c r="B102" s="338"/>
      <c r="C102" s="476" t="s">
        <v>4590</v>
      </c>
      <c r="D102" s="354"/>
      <c r="E102" s="354"/>
      <c r="F102" s="354"/>
      <c r="G102" s="354"/>
      <c r="H102" s="354"/>
      <c r="I102" s="354"/>
      <c r="J102" s="474" t="s">
        <v>4591</v>
      </c>
      <c r="K102" s="338"/>
      <c r="L102" s="338"/>
      <c r="M102" s="338"/>
      <c r="N102" s="338"/>
      <c r="O102" s="974" t="s">
        <v>4592</v>
      </c>
      <c r="P102" s="975" t="s">
        <v>4593</v>
      </c>
      <c r="Q102" s="338"/>
      <c r="R102" s="338"/>
      <c r="S102" s="338"/>
      <c r="T102" s="338"/>
      <c r="U102" s="338"/>
      <c r="V102" s="338"/>
      <c r="W102" s="338"/>
      <c r="X102" s="338"/>
      <c r="Y102" s="338"/>
      <c r="Z102" s="338"/>
      <c r="AA102" s="338"/>
      <c r="AB102" s="338"/>
      <c r="AC102" s="338"/>
      <c r="AD102" s="338"/>
      <c r="AE102" s="338"/>
      <c r="AF102" s="338"/>
      <c r="AG102" s="338"/>
      <c r="AH102" s="338"/>
      <c r="AI102" s="338"/>
      <c r="AJ102" s="338"/>
      <c r="AK102" s="338"/>
      <c r="AL102" s="338"/>
      <c r="AM102" s="338"/>
      <c r="AN102" s="338"/>
      <c r="AO102" s="338"/>
      <c r="AP102" s="338"/>
      <c r="AQ102" s="338"/>
      <c r="AR102" s="338"/>
      <c r="AS102" s="338"/>
      <c r="AT102" s="338"/>
      <c r="AU102" s="338"/>
      <c r="AV102" s="338"/>
      <c r="AW102" s="338"/>
      <c r="AX102" s="338"/>
      <c r="AY102" s="338"/>
      <c r="AZ102" s="338"/>
      <c r="BA102" s="338"/>
      <c r="BB102" s="338"/>
      <c r="BC102" s="338"/>
      <c r="BD102" s="341">
        <v>1</v>
      </c>
    </row>
    <row r="103" spans="1:56" ht="21" customHeight="1" x14ac:dyDescent="0.25">
      <c r="A103" s="338">
        <v>1</v>
      </c>
      <c r="B103" s="338"/>
      <c r="C103" s="354" t="s">
        <v>4594</v>
      </c>
      <c r="D103" s="354"/>
      <c r="E103" s="354"/>
      <c r="F103" s="354"/>
      <c r="G103" s="354"/>
      <c r="H103" s="477" t="s">
        <v>4595</v>
      </c>
      <c r="I103" s="478">
        <f>IF(H104=D130,E113/(100-F114)*100)</f>
        <v>2.5</v>
      </c>
      <c r="J103" s="442" t="str">
        <f ca="1">_xlfn.FORMULATEXT(I103)</f>
        <v>=SI(H104=D130;E113/(100-F114)*100)</v>
      </c>
      <c r="K103" s="373"/>
      <c r="L103" s="338">
        <v>1</v>
      </c>
      <c r="M103" s="338">
        <v>1</v>
      </c>
      <c r="N103" s="338"/>
      <c r="O103" s="974"/>
      <c r="P103" s="975"/>
      <c r="Q103" s="338"/>
      <c r="R103" s="338"/>
      <c r="S103" s="338"/>
      <c r="T103" s="338"/>
      <c r="U103" s="338"/>
      <c r="V103" s="338"/>
      <c r="W103" s="338"/>
      <c r="X103" s="338"/>
      <c r="Y103" s="338"/>
      <c r="Z103" s="338"/>
      <c r="AA103" s="338"/>
      <c r="AB103" s="338"/>
      <c r="AC103" s="338"/>
      <c r="AD103" s="338"/>
      <c r="AE103" s="338"/>
      <c r="AF103" s="338"/>
      <c r="AG103" s="338"/>
      <c r="AH103" s="338"/>
      <c r="AI103" s="338"/>
      <c r="AJ103" s="338"/>
      <c r="AK103" s="338"/>
      <c r="AL103" s="338"/>
      <c r="AM103" s="338"/>
      <c r="AN103" s="338"/>
      <c r="AO103" s="338"/>
      <c r="AP103" s="338"/>
      <c r="AQ103" s="338"/>
      <c r="AR103" s="338"/>
      <c r="AS103" s="338"/>
      <c r="AT103" s="338"/>
      <c r="AU103" s="338"/>
      <c r="AV103" s="338"/>
      <c r="AW103" s="338"/>
      <c r="AX103" s="338"/>
      <c r="AY103" s="338"/>
      <c r="AZ103" s="338"/>
      <c r="BA103" s="338"/>
      <c r="BB103" s="338"/>
      <c r="BC103" s="338"/>
      <c r="BD103" s="341">
        <v>1</v>
      </c>
    </row>
    <row r="104" spans="1:56" ht="21" customHeight="1" x14ac:dyDescent="0.25">
      <c r="A104" s="338">
        <v>1</v>
      </c>
      <c r="B104" s="338"/>
      <c r="C104" s="354" t="s">
        <v>4596</v>
      </c>
      <c r="D104" s="354"/>
      <c r="E104" s="354"/>
      <c r="F104" s="354"/>
      <c r="G104" s="354"/>
      <c r="H104" s="479" t="s">
        <v>4597</v>
      </c>
      <c r="I104" s="478">
        <f>IF(H113=D130,E113-(E113*F114%))</f>
        <v>0.625</v>
      </c>
      <c r="J104" s="442" t="str">
        <f ca="1">_xlfn.FORMULATEXT(I104)</f>
        <v>=SI(H113=D130;E113-(E113*F114%))</v>
      </c>
      <c r="K104" s="373"/>
      <c r="L104" s="338">
        <v>1</v>
      </c>
      <c r="M104" s="338">
        <v>1</v>
      </c>
      <c r="N104" s="338"/>
      <c r="O104" s="338">
        <v>1</v>
      </c>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338"/>
      <c r="AM104" s="338"/>
      <c r="AN104" s="338"/>
      <c r="AO104" s="338"/>
      <c r="AP104" s="338"/>
      <c r="AQ104" s="338"/>
      <c r="AR104" s="338"/>
      <c r="AS104" s="338"/>
      <c r="AT104" s="338"/>
      <c r="AU104" s="338"/>
      <c r="AV104" s="338"/>
      <c r="AW104" s="338"/>
      <c r="AX104" s="338"/>
      <c r="AY104" s="338"/>
      <c r="AZ104" s="338"/>
      <c r="BA104" s="338"/>
      <c r="BB104" s="338"/>
      <c r="BC104" s="338"/>
      <c r="BD104" s="341">
        <v>1</v>
      </c>
    </row>
    <row r="105" spans="1:56" ht="21" customHeight="1" thickBot="1" x14ac:dyDescent="0.3">
      <c r="A105" s="338">
        <v>1</v>
      </c>
      <c r="B105" s="338"/>
      <c r="C105" s="338">
        <v>1</v>
      </c>
      <c r="D105" s="338">
        <v>1</v>
      </c>
      <c r="E105" s="338">
        <v>1</v>
      </c>
      <c r="F105" s="338">
        <v>1</v>
      </c>
      <c r="G105" s="338">
        <v>1</v>
      </c>
      <c r="H105" s="338">
        <v>1</v>
      </c>
      <c r="I105" s="338">
        <v>1</v>
      </c>
      <c r="J105" s="480"/>
      <c r="K105" s="338"/>
      <c r="L105" s="338">
        <v>1</v>
      </c>
      <c r="M105" s="338">
        <v>1</v>
      </c>
      <c r="N105" s="338"/>
      <c r="O105" s="976" t="s">
        <v>4598</v>
      </c>
      <c r="P105" s="338"/>
      <c r="Q105" s="338"/>
      <c r="R105" s="338"/>
      <c r="S105" s="338"/>
      <c r="T105" s="338"/>
      <c r="U105" s="338"/>
      <c r="V105" s="338"/>
      <c r="W105" s="338"/>
      <c r="X105" s="338"/>
      <c r="Y105" s="338"/>
      <c r="Z105" s="338"/>
      <c r="AA105" s="338"/>
      <c r="AB105" s="338"/>
      <c r="AC105" s="338"/>
      <c r="AD105" s="338"/>
      <c r="AE105" s="338"/>
      <c r="AF105" s="338"/>
      <c r="AG105" s="338"/>
      <c r="AH105" s="338"/>
      <c r="AI105" s="338"/>
      <c r="AJ105" s="338"/>
      <c r="AK105" s="338"/>
      <c r="AL105" s="338"/>
      <c r="AM105" s="338"/>
      <c r="AN105" s="338"/>
      <c r="AO105" s="338"/>
      <c r="AP105" s="338"/>
      <c r="AQ105" s="338"/>
      <c r="AR105" s="338"/>
      <c r="AS105" s="338"/>
      <c r="AT105" s="338"/>
      <c r="AU105" s="338"/>
      <c r="AV105" s="338"/>
      <c r="AW105" s="338"/>
      <c r="AX105" s="338"/>
      <c r="AY105" s="338"/>
      <c r="AZ105" s="338"/>
      <c r="BA105" s="338"/>
      <c r="BB105" s="338"/>
      <c r="BC105" s="338"/>
      <c r="BD105" s="341">
        <v>1</v>
      </c>
    </row>
    <row r="106" spans="1:56" ht="21" customHeight="1" x14ac:dyDescent="0.25">
      <c r="A106" s="338">
        <v>1</v>
      </c>
      <c r="B106" s="944" t="s">
        <v>4491</v>
      </c>
      <c r="C106" s="960" t="s">
        <v>4599</v>
      </c>
      <c r="D106" s="960"/>
      <c r="E106" s="960"/>
      <c r="F106" s="960"/>
      <c r="G106" s="481"/>
      <c r="H106" s="482" t="str">
        <f>E114</f>
        <v>❻ %  de PERTE &gt;</v>
      </c>
      <c r="I106" s="483" t="str">
        <f>_xlfn.UNICHAR(128269)&amp;"Cliquez sur les loupes"</f>
        <v>🔍Cliquez sur les loupes</v>
      </c>
      <c r="J106" s="418"/>
      <c r="K106" s="484" t="s">
        <v>4511</v>
      </c>
      <c r="L106" s="373"/>
      <c r="M106" s="373"/>
      <c r="N106" s="373"/>
      <c r="O106" s="976"/>
      <c r="P106" s="338"/>
      <c r="Q106" s="338"/>
      <c r="R106" s="338"/>
      <c r="S106" s="338"/>
      <c r="T106" s="338"/>
      <c r="U106" s="338"/>
      <c r="V106" s="338"/>
      <c r="W106" s="338"/>
      <c r="X106" s="338"/>
      <c r="Y106" s="338"/>
      <c r="Z106" s="338"/>
      <c r="AA106" s="338"/>
      <c r="AB106" s="338"/>
      <c r="AC106" s="338"/>
      <c r="AD106" s="338"/>
      <c r="AE106" s="338"/>
      <c r="AF106" s="338"/>
      <c r="AG106" s="338"/>
      <c r="AH106" s="338"/>
      <c r="AI106" s="338"/>
      <c r="AJ106" s="338"/>
      <c r="AK106" s="338"/>
      <c r="AL106" s="338"/>
      <c r="AM106" s="338"/>
      <c r="AN106" s="338"/>
      <c r="AO106" s="338"/>
      <c r="AP106" s="338"/>
      <c r="AQ106" s="338"/>
      <c r="AR106" s="338"/>
      <c r="AS106" s="338"/>
      <c r="AT106" s="338"/>
      <c r="AU106" s="338"/>
      <c r="AV106" s="338"/>
      <c r="AW106" s="338"/>
      <c r="AX106" s="338"/>
      <c r="AY106" s="338"/>
      <c r="AZ106" s="338"/>
      <c r="BA106" s="338"/>
      <c r="BB106" s="338"/>
      <c r="BC106" s="338"/>
      <c r="BD106" s="341">
        <v>1</v>
      </c>
    </row>
    <row r="107" spans="1:56" ht="21" customHeight="1" x14ac:dyDescent="0.25">
      <c r="A107" s="338">
        <v>1</v>
      </c>
      <c r="B107" s="945"/>
      <c r="C107" s="485"/>
      <c r="D107" s="485"/>
      <c r="E107" s="486"/>
      <c r="F107" s="487" t="s">
        <v>4600</v>
      </c>
      <c r="G107" s="488" t="str">
        <f>IF(F113=D129,"CRU- Brut ou à cuire","CUIT - Net à servir")</f>
        <v>CRU- Brut ou à cuire</v>
      </c>
      <c r="H107" s="489"/>
      <c r="I107" s="490" t="str">
        <f>HYPERLINK("#"&amp;ADDRESS(ROW(G107),COLUMN(G107),4),_xlfn.UNICHAR(128269)&amp;"cellule "&amp;ADDRESS(ROW(G107),COLUMN(G107),4))</f>
        <v>🔍cellule G107</v>
      </c>
      <c r="J107" s="491" t="str">
        <f>G107</f>
        <v>CRU- Brut ou à cuire</v>
      </c>
      <c r="K107" s="442" t="str">
        <f ca="1">_xlfn.FORMULATEXT(G107)</f>
        <v>=SI(F113=D129;"CRU- Brut ou à cuire";"CUIT - Net à servir")</v>
      </c>
      <c r="L107" s="373"/>
      <c r="M107" s="373"/>
      <c r="N107" s="373"/>
      <c r="O107" s="338"/>
      <c r="P107" s="338"/>
      <c r="Q107" s="338"/>
      <c r="R107" s="338"/>
      <c r="S107" s="338"/>
      <c r="T107" s="338"/>
      <c r="U107" s="338"/>
      <c r="V107" s="338"/>
      <c r="W107" s="338"/>
      <c r="X107" s="338"/>
      <c r="Y107" s="338"/>
      <c r="Z107" s="338"/>
      <c r="AA107" s="338"/>
      <c r="AB107" s="338"/>
      <c r="AC107" s="338"/>
      <c r="AD107" s="338"/>
      <c r="AE107" s="338"/>
      <c r="AF107" s="338"/>
      <c r="AG107" s="338"/>
      <c r="AH107" s="338"/>
      <c r="AI107" s="338"/>
      <c r="AJ107" s="338"/>
      <c r="AK107" s="338"/>
      <c r="AL107" s="338"/>
      <c r="AM107" s="338"/>
      <c r="AN107" s="338"/>
      <c r="AO107" s="338"/>
      <c r="AP107" s="338"/>
      <c r="AQ107" s="338"/>
      <c r="AR107" s="338"/>
      <c r="AS107" s="338"/>
      <c r="AT107" s="338"/>
      <c r="AU107" s="338"/>
      <c r="AV107" s="338"/>
      <c r="AW107" s="338"/>
      <c r="AX107" s="338"/>
      <c r="AY107" s="338"/>
      <c r="AZ107" s="338"/>
      <c r="BA107" s="338"/>
      <c r="BB107" s="338"/>
      <c r="BC107" s="338"/>
      <c r="BD107" s="341">
        <v>1</v>
      </c>
    </row>
    <row r="108" spans="1:56" ht="21" customHeight="1" x14ac:dyDescent="0.25">
      <c r="A108" s="338">
        <v>1</v>
      </c>
      <c r="B108" s="947">
        <v>3</v>
      </c>
      <c r="C108" s="936" t="str">
        <f>D110</f>
        <v>Sautés en morceaux service au poids</v>
      </c>
      <c r="D108" s="936"/>
      <c r="E108" s="936"/>
      <c r="F108" s="936"/>
      <c r="G108" s="936"/>
      <c r="H108" s="937"/>
      <c r="I108" s="490" t="str">
        <f>HYPERLINK("#"&amp;ADDRESS(ROW(E109),COLUMN(E109),4),_xlfn.UNICHAR(128269)&amp;"cellule "&amp;ADDRESS(ROW(E109),COLUMN(E109),4))</f>
        <v>🔍cellule E109</v>
      </c>
      <c r="J108" s="492">
        <f>E109</f>
        <v>46</v>
      </c>
      <c r="K108" s="442" t="str">
        <f ca="1">_xlfn.FORMULATEXT(E109)</f>
        <v>=ENT(E119/E113)</v>
      </c>
      <c r="L108" s="373"/>
      <c r="M108" s="373"/>
      <c r="N108" s="373"/>
      <c r="O108" s="338"/>
      <c r="P108" s="338"/>
      <c r="Q108" s="338"/>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338"/>
      <c r="AM108" s="338"/>
      <c r="AN108" s="338"/>
      <c r="AO108" s="338"/>
      <c r="AP108" s="338"/>
      <c r="AQ108" s="338"/>
      <c r="AR108" s="338"/>
      <c r="AS108" s="338"/>
      <c r="AT108" s="338"/>
      <c r="AU108" s="338"/>
      <c r="AV108" s="338"/>
      <c r="AW108" s="338"/>
      <c r="AX108" s="338"/>
      <c r="AY108" s="338"/>
      <c r="AZ108" s="338"/>
      <c r="BA108" s="338"/>
      <c r="BB108" s="338"/>
      <c r="BC108" s="338"/>
      <c r="BD108" s="341">
        <v>1</v>
      </c>
    </row>
    <row r="109" spans="1:56" ht="21" customHeight="1" x14ac:dyDescent="0.25">
      <c r="A109" s="338">
        <v>1</v>
      </c>
      <c r="B109" s="947"/>
      <c r="C109" s="493"/>
      <c r="D109" s="494" t="s">
        <v>4601</v>
      </c>
      <c r="E109" s="495">
        <f>INT(E119/E113)</f>
        <v>46</v>
      </c>
      <c r="F109" s="496">
        <f>IF(E109=0,0,IF(E120=0,0,E113))</f>
        <v>1.25</v>
      </c>
      <c r="G109" s="497" t="str">
        <f>IF(F109*E109=0,"1 de",IF(E119=0,0,IF(E113=0,0,IF(F109*E109=E119,"",IF(H109&gt;0,"Plus 1 de")))))</f>
        <v>Plus 1 de</v>
      </c>
      <c r="H109" s="498">
        <f>IF(E113=0,0,IF(F109*E109=E119,"",MOD(E119,E113)))</f>
        <v>0.10000000000000142</v>
      </c>
      <c r="I109" s="490" t="str">
        <f>HYPERLINK("#"&amp;ADDRESS(ROW(F109),COLUMN(F109),4),_xlfn.UNICHAR(128269)&amp;"cellule "&amp;ADDRESS(ROW(F109),COLUMN(F109),4))</f>
        <v>🔍cellule F109</v>
      </c>
      <c r="J109" s="499">
        <f>F109</f>
        <v>1.25</v>
      </c>
      <c r="K109" s="442" t="str">
        <f ca="1">_xlfn.FORMULATEXT(F109)</f>
        <v>=SI(E109=0;0;SI(E120=0;0;E113))</v>
      </c>
      <c r="L109" s="373"/>
      <c r="M109" s="373"/>
      <c r="N109" s="373"/>
      <c r="O109" s="373"/>
      <c r="P109" s="373"/>
      <c r="Q109" s="338"/>
      <c r="R109" s="338"/>
      <c r="S109" s="338"/>
      <c r="T109" s="338"/>
      <c r="U109" s="338"/>
      <c r="V109" s="338"/>
      <c r="W109" s="338"/>
      <c r="X109" s="338"/>
      <c r="Y109" s="338"/>
      <c r="Z109" s="338"/>
      <c r="AA109" s="338"/>
      <c r="AB109" s="338"/>
      <c r="AC109" s="338"/>
      <c r="AD109" s="338"/>
      <c r="AE109" s="338"/>
      <c r="AF109" s="338"/>
      <c r="AG109" s="338"/>
      <c r="AH109" s="338"/>
      <c r="AI109" s="338"/>
      <c r="AJ109" s="338"/>
      <c r="AK109" s="338"/>
      <c r="AL109" s="338"/>
      <c r="AM109" s="338"/>
      <c r="AN109" s="338"/>
      <c r="AO109" s="338"/>
      <c r="AP109" s="338"/>
      <c r="AQ109" s="338"/>
      <c r="AR109" s="338"/>
      <c r="AS109" s="338"/>
      <c r="AT109" s="338"/>
      <c r="AU109" s="338"/>
      <c r="AV109" s="338"/>
      <c r="AW109" s="338"/>
      <c r="AX109" s="338"/>
      <c r="AY109" s="338"/>
      <c r="AZ109" s="338"/>
      <c r="BA109" s="338"/>
      <c r="BB109" s="338"/>
      <c r="BC109" s="338"/>
      <c r="BD109" s="341">
        <v>1</v>
      </c>
    </row>
    <row r="110" spans="1:56" ht="21" customHeight="1" x14ac:dyDescent="0.25">
      <c r="A110" s="338">
        <v>1</v>
      </c>
      <c r="B110" s="947"/>
      <c r="C110" s="500" t="s">
        <v>4602</v>
      </c>
      <c r="D110" s="501" t="s">
        <v>4603</v>
      </c>
      <c r="E110" s="502"/>
      <c r="F110" s="373"/>
      <c r="G110" s="373"/>
      <c r="H110" s="503"/>
      <c r="I110" s="490" t="str">
        <f>HYPERLINK("#"&amp;ADDRESS(ROW(G109),COLUMN(G109),4),_xlfn.UNICHAR(128269)&amp;"cellule "&amp;ADDRESS(ROW(G109),COLUMN(G109),4))</f>
        <v>🔍cellule G109</v>
      </c>
      <c r="J110" s="504" t="str">
        <f>HYPERLINK("# G31",G109)</f>
        <v>Plus 1 de</v>
      </c>
      <c r="K110" s="442" t="str">
        <f ca="1">_xlfn.FORMULATEXT(G109)</f>
        <v>=SI(F109*E109=0;"1 de";SI(E119=0;0;SI(E113=0;0;SI(F109*E109=E119;"";SI(H109&gt;0;"Plus 1 de")))))</v>
      </c>
      <c r="L110" s="373"/>
      <c r="M110" s="373"/>
      <c r="N110" s="373"/>
      <c r="O110" s="373"/>
      <c r="P110" s="373"/>
      <c r="Q110" s="338"/>
      <c r="R110" s="338"/>
      <c r="S110" s="338"/>
      <c r="T110" s="338"/>
      <c r="U110" s="338"/>
      <c r="V110" s="338"/>
      <c r="W110" s="338"/>
      <c r="X110" s="338"/>
      <c r="Y110" s="338"/>
      <c r="Z110" s="338"/>
      <c r="AA110" s="338"/>
      <c r="AB110" s="338"/>
      <c r="AC110" s="338"/>
      <c r="AD110" s="338"/>
      <c r="AE110" s="338"/>
      <c r="AF110" s="338"/>
      <c r="AG110" s="338"/>
      <c r="AH110" s="338"/>
      <c r="AI110" s="338"/>
      <c r="AJ110" s="338"/>
      <c r="AK110" s="338"/>
      <c r="AL110" s="338"/>
      <c r="AM110" s="338"/>
      <c r="AN110" s="338"/>
      <c r="AO110" s="338"/>
      <c r="AP110" s="338"/>
      <c r="AQ110" s="338"/>
      <c r="AR110" s="338"/>
      <c r="AS110" s="338"/>
      <c r="AT110" s="338"/>
      <c r="AU110" s="338"/>
      <c r="AV110" s="338"/>
      <c r="AW110" s="338"/>
      <c r="AX110" s="338"/>
      <c r="AY110" s="338"/>
      <c r="AZ110" s="338"/>
      <c r="BA110" s="338"/>
      <c r="BB110" s="338"/>
      <c r="BC110" s="338"/>
      <c r="BD110" s="341">
        <v>1</v>
      </c>
    </row>
    <row r="111" spans="1:56" ht="21" customHeight="1" x14ac:dyDescent="0.25">
      <c r="A111" s="338">
        <v>1</v>
      </c>
      <c r="B111" s="947"/>
      <c r="C111" s="373"/>
      <c r="D111" s="373"/>
      <c r="E111" s="505" t="s">
        <v>4604</v>
      </c>
      <c r="F111" s="949" t="s">
        <v>4605</v>
      </c>
      <c r="G111" s="949"/>
      <c r="H111" s="950"/>
      <c r="I111" s="490" t="str">
        <f>HYPERLINK("#"&amp;ADDRESS(ROW(H109),COLUMN(H109),4),_xlfn.UNICHAR(128269)&amp;"cellule "&amp;ADDRESS(ROW(H109),COLUMN(H109),4))</f>
        <v>🔍cellule H109</v>
      </c>
      <c r="J111" s="506">
        <f>H109</f>
        <v>0.10000000000000142</v>
      </c>
      <c r="K111" s="442" t="str">
        <f ca="1">_xlfn.FORMULATEXT(H109)</f>
        <v>=SI(E113=0;0;SI(F109*E109=E119;"";MOD(E119;E113)))</v>
      </c>
      <c r="L111" s="373"/>
      <c r="M111" s="373"/>
      <c r="N111" s="373"/>
      <c r="O111" s="373"/>
      <c r="P111" s="373"/>
      <c r="Q111" s="338"/>
      <c r="R111" s="338"/>
      <c r="S111" s="338"/>
      <c r="T111" s="338"/>
      <c r="U111" s="338"/>
      <c r="V111" s="338"/>
      <c r="W111" s="338"/>
      <c r="X111" s="338"/>
      <c r="Y111" s="338"/>
      <c r="Z111" s="338"/>
      <c r="AA111" s="338"/>
      <c r="AB111" s="338"/>
      <c r="AC111" s="338"/>
      <c r="AD111" s="338"/>
      <c r="AE111" s="338"/>
      <c r="AF111" s="338"/>
      <c r="AG111" s="338"/>
      <c r="AH111" s="338"/>
      <c r="AI111" s="338"/>
      <c r="AJ111" s="338"/>
      <c r="AK111" s="338"/>
      <c r="AL111" s="338"/>
      <c r="AM111" s="338"/>
      <c r="AN111" s="338"/>
      <c r="AO111" s="338"/>
      <c r="AP111" s="338"/>
      <c r="AQ111" s="338"/>
      <c r="AR111" s="338"/>
      <c r="AS111" s="338"/>
      <c r="AT111" s="338"/>
      <c r="AU111" s="338"/>
      <c r="AV111" s="338"/>
      <c r="AW111" s="338"/>
      <c r="AX111" s="338"/>
      <c r="AY111" s="338"/>
      <c r="AZ111" s="338"/>
      <c r="BA111" s="338"/>
      <c r="BB111" s="338"/>
      <c r="BC111" s="338"/>
      <c r="BD111" s="341">
        <v>1</v>
      </c>
    </row>
    <row r="112" spans="1:56" ht="21" customHeight="1" x14ac:dyDescent="0.25">
      <c r="A112" s="338">
        <v>1</v>
      </c>
      <c r="B112" s="947"/>
      <c r="C112" s="373"/>
      <c r="D112" s="507"/>
      <c r="E112" s="508"/>
      <c r="F112" s="509" t="s">
        <v>4606</v>
      </c>
      <c r="G112" s="507"/>
      <c r="H112" s="503"/>
      <c r="I112" s="363"/>
      <c r="J112" s="510"/>
      <c r="K112" s="373"/>
      <c r="L112" s="373"/>
      <c r="M112" s="373"/>
      <c r="N112" s="373"/>
      <c r="O112" s="373"/>
      <c r="P112" s="373"/>
      <c r="Q112" s="338"/>
      <c r="R112" s="338"/>
      <c r="S112" s="338"/>
      <c r="T112" s="338"/>
      <c r="U112" s="338"/>
      <c r="V112" s="338"/>
      <c r="W112" s="338"/>
      <c r="X112" s="338"/>
      <c r="Y112" s="338"/>
      <c r="Z112" s="338"/>
      <c r="AA112" s="338"/>
      <c r="AB112" s="338"/>
      <c r="AC112" s="338"/>
      <c r="AD112" s="338"/>
      <c r="AE112" s="338"/>
      <c r="AF112" s="338"/>
      <c r="AG112" s="338"/>
      <c r="AH112" s="338"/>
      <c r="AI112" s="338"/>
      <c r="AJ112" s="338"/>
      <c r="AK112" s="338"/>
      <c r="AL112" s="338"/>
      <c r="AM112" s="338"/>
      <c r="AN112" s="338"/>
      <c r="AO112" s="338"/>
      <c r="AP112" s="338"/>
      <c r="AQ112" s="338"/>
      <c r="AR112" s="338"/>
      <c r="AS112" s="338"/>
      <c r="AT112" s="338"/>
      <c r="AU112" s="338"/>
      <c r="AV112" s="338"/>
      <c r="AW112" s="338"/>
      <c r="AX112" s="338"/>
      <c r="AY112" s="338"/>
      <c r="AZ112" s="338"/>
      <c r="BA112" s="338"/>
      <c r="BB112" s="338"/>
      <c r="BC112" s="338"/>
      <c r="BD112" s="341">
        <v>1</v>
      </c>
    </row>
    <row r="113" spans="1:56" ht="21" customHeight="1" x14ac:dyDescent="0.25">
      <c r="A113" s="338">
        <v>1</v>
      </c>
      <c r="B113" s="947"/>
      <c r="C113" s="511"/>
      <c r="D113" s="512" t="s">
        <v>4607</v>
      </c>
      <c r="E113" s="513">
        <v>1.25</v>
      </c>
      <c r="F113" s="514" t="s">
        <v>4595</v>
      </c>
      <c r="G113" s="515">
        <f>IF(F113=D129,E113-(E113*F114%),IF(F113=D130,E113/(100-F114)*100))</f>
        <v>0.625</v>
      </c>
      <c r="H113" s="516" t="str">
        <f>H116</f>
        <v>❺ Kg cuit</v>
      </c>
      <c r="I113" s="490" t="str">
        <f>HYPERLINK("#"&amp;ADDRESS(ROW(G113),COLUMN(G113),4),_xlfn.UNICHAR(128269)&amp;"cellule "&amp;ADDRESS(ROW(G113),COLUMN(G113),4))</f>
        <v>🔍cellule G113</v>
      </c>
      <c r="J113" s="478">
        <f>G113</f>
        <v>0.625</v>
      </c>
      <c r="K113" s="442" t="str">
        <f ca="1">_xlfn.FORMULATEXT(G113)</f>
        <v>=SI(F113=D129;E113-(E113*F114%);SI(F113=D130;E113/(100-F114)*100))</v>
      </c>
      <c r="L113" s="373"/>
      <c r="M113" s="373"/>
      <c r="N113" s="373"/>
      <c r="O113" s="373"/>
      <c r="P113" s="373"/>
      <c r="Q113" s="338"/>
      <c r="R113" s="338"/>
      <c r="S113" s="338"/>
      <c r="T113" s="338"/>
      <c r="U113" s="338"/>
      <c r="V113" s="338"/>
      <c r="W113" s="338"/>
      <c r="X113" s="338"/>
      <c r="Y113" s="338"/>
      <c r="Z113" s="338"/>
      <c r="AA113" s="338"/>
      <c r="AB113" s="338"/>
      <c r="AC113" s="338"/>
      <c r="AD113" s="338"/>
      <c r="AE113" s="338"/>
      <c r="AF113" s="338"/>
      <c r="AG113" s="338"/>
      <c r="AH113" s="338"/>
      <c r="AI113" s="338"/>
      <c r="AJ113" s="338"/>
      <c r="AK113" s="338"/>
      <c r="AL113" s="338"/>
      <c r="AM113" s="338"/>
      <c r="AN113" s="338"/>
      <c r="AO113" s="338"/>
      <c r="AP113" s="338"/>
      <c r="AQ113" s="338"/>
      <c r="AR113" s="338"/>
      <c r="AS113" s="338"/>
      <c r="AT113" s="338"/>
      <c r="AU113" s="338"/>
      <c r="AV113" s="338"/>
      <c r="AW113" s="338"/>
      <c r="AX113" s="338"/>
      <c r="AY113" s="338"/>
      <c r="AZ113" s="338"/>
      <c r="BA113" s="338"/>
      <c r="BB113" s="338"/>
      <c r="BC113" s="338"/>
      <c r="BD113" s="341">
        <v>1</v>
      </c>
    </row>
    <row r="114" spans="1:56" ht="21" customHeight="1" x14ac:dyDescent="0.25">
      <c r="A114" s="338">
        <v>1</v>
      </c>
      <c r="B114" s="947"/>
      <c r="C114" s="373"/>
      <c r="D114" s="418"/>
      <c r="E114" s="517" t="str">
        <f>IF(F116=D130,"❻ % de BONI &gt;",IF(F116=D129,"❻ %  de PERTE &gt;",IF(ISBLANK(F114),0)))</f>
        <v>❻ %  de PERTE &gt;</v>
      </c>
      <c r="F114" s="518">
        <v>50</v>
      </c>
      <c r="G114" s="373"/>
      <c r="H114" s="503"/>
      <c r="I114" s="490" t="str">
        <f>HYPERLINK("#"&amp;ADDRESS(ROW(E114),COLUMN(E114),4),_xlfn.UNICHAR(128269)&amp;"cellule "&amp;ADDRESS(ROW(E114),COLUMN(E114),4))</f>
        <v>🔍cellule E114</v>
      </c>
      <c r="J114" s="519" t="str">
        <f>E114</f>
        <v>❻ %  de PERTE &gt;</v>
      </c>
      <c r="K114" s="442" t="str">
        <f ca="1">_xlfn.FORMULATEXT(E114)</f>
        <v>=SI(F116=D130;"❻ % de BONI &gt;";SI(F116=D129;"❻ %  de PERTE &gt;";SI(ESTVIDE(F114);0)))</v>
      </c>
      <c r="L114" s="373"/>
      <c r="M114" s="373"/>
      <c r="N114" s="373"/>
      <c r="O114" s="373"/>
      <c r="P114" s="373"/>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338"/>
      <c r="AN114" s="338"/>
      <c r="AO114" s="338"/>
      <c r="AP114" s="338"/>
      <c r="AQ114" s="338"/>
      <c r="AR114" s="338"/>
      <c r="AS114" s="338"/>
      <c r="AT114" s="338"/>
      <c r="AU114" s="338"/>
      <c r="AV114" s="338"/>
      <c r="AW114" s="338"/>
      <c r="AX114" s="338"/>
      <c r="AY114" s="338"/>
      <c r="AZ114" s="338"/>
      <c r="BA114" s="338"/>
      <c r="BB114" s="338"/>
      <c r="BC114" s="338"/>
      <c r="BD114" s="341">
        <v>1</v>
      </c>
    </row>
    <row r="115" spans="1:56" ht="21" customHeight="1" x14ac:dyDescent="0.25">
      <c r="A115" s="338">
        <v>1</v>
      </c>
      <c r="B115" s="947"/>
      <c r="C115" s="373"/>
      <c r="D115" s="373"/>
      <c r="E115" s="373"/>
      <c r="F115" s="373"/>
      <c r="G115" s="373"/>
      <c r="H115" s="503"/>
      <c r="I115" s="363"/>
      <c r="J115" s="510"/>
      <c r="K115" s="373"/>
      <c r="L115" s="373"/>
      <c r="M115" s="373"/>
      <c r="N115" s="373"/>
      <c r="O115" s="373"/>
      <c r="P115" s="373"/>
      <c r="Q115" s="338"/>
      <c r="R115" s="338"/>
      <c r="S115" s="338"/>
      <c r="T115" s="338"/>
      <c r="U115" s="338"/>
      <c r="V115" s="338"/>
      <c r="W115" s="338"/>
      <c r="X115" s="338"/>
      <c r="Y115" s="338"/>
      <c r="Z115" s="338"/>
      <c r="AA115" s="338"/>
      <c r="AB115" s="338"/>
      <c r="AC115" s="338"/>
      <c r="AD115" s="338"/>
      <c r="AE115" s="338"/>
      <c r="AF115" s="338"/>
      <c r="AG115" s="338"/>
      <c r="AH115" s="338"/>
      <c r="AI115" s="338"/>
      <c r="AJ115" s="338"/>
      <c r="AK115" s="338"/>
      <c r="AL115" s="338"/>
      <c r="AM115" s="338"/>
      <c r="AN115" s="338"/>
      <c r="AO115" s="338"/>
      <c r="AP115" s="338"/>
      <c r="AQ115" s="338"/>
      <c r="AR115" s="338"/>
      <c r="AS115" s="338"/>
      <c r="AT115" s="338"/>
      <c r="AU115" s="338"/>
      <c r="AV115" s="338"/>
      <c r="AW115" s="338"/>
      <c r="AX115" s="338"/>
      <c r="AY115" s="338"/>
      <c r="AZ115" s="338"/>
      <c r="BA115" s="338"/>
      <c r="BB115" s="338"/>
      <c r="BC115" s="338"/>
      <c r="BD115" s="341">
        <v>1</v>
      </c>
    </row>
    <row r="116" spans="1:56" ht="21" customHeight="1" x14ac:dyDescent="0.25">
      <c r="A116" s="338">
        <v>1</v>
      </c>
      <c r="B116" s="947"/>
      <c r="C116" s="373"/>
      <c r="D116" s="520" t="s">
        <v>4608</v>
      </c>
      <c r="E116" s="521">
        <v>4.8000000000000001E-2</v>
      </c>
      <c r="F116" s="522" t="str">
        <f>F113</f>
        <v>❹ Kg cru</v>
      </c>
      <c r="G116" s="515">
        <f>IF(F116=D129,E116-(E116*F114%),IF(F116=D130,E116/(100-F114)*100))</f>
        <v>2.4E-2</v>
      </c>
      <c r="H116" s="523" t="str">
        <f>IF(F116=D129,D130,D129)</f>
        <v>❺ Kg cuit</v>
      </c>
      <c r="I116" s="490" t="str">
        <f>HYPERLINK("#"&amp;ADDRESS(ROW(G116),COLUMN(G116),4),_xlfn.UNICHAR(128269)&amp;"cellule "&amp;ADDRESS(ROW(G116),COLUMN(G116),4))</f>
        <v>🔍cellule G116</v>
      </c>
      <c r="J116" s="478">
        <f>G116</f>
        <v>2.4E-2</v>
      </c>
      <c r="K116" s="442" t="str">
        <f ca="1">_xlfn.FORMULATEXT(G116)</f>
        <v>=SI(F116=D129;E116-(E116*F114%);SI(F116=D130;E116/(100-F114)*100))</v>
      </c>
      <c r="L116" s="373"/>
      <c r="M116" s="373"/>
      <c r="N116" s="373"/>
      <c r="O116" s="373"/>
      <c r="P116" s="373"/>
      <c r="Q116" s="338"/>
      <c r="R116" s="338"/>
      <c r="S116" s="338"/>
      <c r="T116" s="338"/>
      <c r="U116" s="338"/>
      <c r="V116" s="338"/>
      <c r="W116" s="338"/>
      <c r="X116" s="338"/>
      <c r="Y116" s="338"/>
      <c r="Z116" s="338"/>
      <c r="AA116" s="338"/>
      <c r="AB116" s="338"/>
      <c r="AC116" s="338"/>
      <c r="AD116" s="338"/>
      <c r="AE116" s="338"/>
      <c r="AF116" s="338"/>
      <c r="AG116" s="338"/>
      <c r="AH116" s="338"/>
      <c r="AI116" s="338"/>
      <c r="AJ116" s="338"/>
      <c r="AK116" s="338"/>
      <c r="AL116" s="338"/>
      <c r="AM116" s="338"/>
      <c r="AN116" s="338"/>
      <c r="AO116" s="338"/>
      <c r="AP116" s="338"/>
      <c r="AQ116" s="338"/>
      <c r="AR116" s="338"/>
      <c r="AS116" s="338"/>
      <c r="AT116" s="338"/>
      <c r="AU116" s="338"/>
      <c r="AV116" s="338"/>
      <c r="AW116" s="338"/>
      <c r="AX116" s="338"/>
      <c r="AY116" s="338"/>
      <c r="AZ116" s="338"/>
      <c r="BA116" s="338"/>
      <c r="BB116" s="338"/>
      <c r="BC116" s="338"/>
      <c r="BD116" s="341">
        <v>1</v>
      </c>
    </row>
    <row r="117" spans="1:56" ht="21" customHeight="1" x14ac:dyDescent="0.25">
      <c r="A117" s="338">
        <v>1</v>
      </c>
      <c r="B117" s="947"/>
      <c r="C117" s="373"/>
      <c r="D117" s="524" t="s">
        <v>4609</v>
      </c>
      <c r="E117" s="525">
        <v>1200</v>
      </c>
      <c r="F117" s="526" t="s">
        <v>4610</v>
      </c>
      <c r="G117" s="373"/>
      <c r="H117" s="527"/>
      <c r="I117" s="363"/>
      <c r="J117" s="510"/>
      <c r="K117" s="373"/>
      <c r="L117" s="373"/>
      <c r="M117" s="373"/>
      <c r="N117" s="373"/>
      <c r="O117" s="373"/>
      <c r="P117" s="373"/>
      <c r="Q117" s="338"/>
      <c r="R117" s="338"/>
      <c r="S117" s="338"/>
      <c r="T117" s="338"/>
      <c r="U117" s="338"/>
      <c r="V117" s="338"/>
      <c r="W117" s="338"/>
      <c r="X117" s="338"/>
      <c r="Y117" s="338"/>
      <c r="Z117" s="338"/>
      <c r="AA117" s="338"/>
      <c r="AB117" s="338"/>
      <c r="AC117" s="338"/>
      <c r="AD117" s="338"/>
      <c r="AE117" s="338"/>
      <c r="AF117" s="338"/>
      <c r="AG117" s="338"/>
      <c r="AH117" s="338"/>
      <c r="AI117" s="338"/>
      <c r="AJ117" s="338"/>
      <c r="AK117" s="338"/>
      <c r="AL117" s="338"/>
      <c r="AM117" s="338"/>
      <c r="AN117" s="338"/>
      <c r="AO117" s="338"/>
      <c r="AP117" s="338"/>
      <c r="AQ117" s="338"/>
      <c r="AR117" s="338"/>
      <c r="AS117" s="338"/>
      <c r="AT117" s="338"/>
      <c r="AU117" s="338"/>
      <c r="AV117" s="338"/>
      <c r="AW117" s="338"/>
      <c r="AX117" s="338"/>
      <c r="AY117" s="338"/>
      <c r="AZ117" s="338"/>
      <c r="BA117" s="338"/>
      <c r="BB117" s="338"/>
      <c r="BC117" s="338"/>
      <c r="BD117" s="341">
        <v>1</v>
      </c>
    </row>
    <row r="118" spans="1:56" ht="21" customHeight="1" x14ac:dyDescent="0.25">
      <c r="A118" s="338">
        <v>1</v>
      </c>
      <c r="B118" s="947"/>
      <c r="C118" s="373"/>
      <c r="D118" s="373"/>
      <c r="E118" s="373"/>
      <c r="F118" s="373"/>
      <c r="G118" s="373"/>
      <c r="H118" s="503"/>
      <c r="I118" s="363"/>
      <c r="J118" s="510"/>
      <c r="K118" s="373"/>
      <c r="L118" s="373"/>
      <c r="M118" s="373"/>
      <c r="N118" s="373"/>
      <c r="O118" s="373"/>
      <c r="P118" s="373"/>
      <c r="Q118" s="338"/>
      <c r="R118" s="338"/>
      <c r="S118" s="338"/>
      <c r="T118" s="338"/>
      <c r="U118" s="338"/>
      <c r="V118" s="338"/>
      <c r="W118" s="338"/>
      <c r="X118" s="338"/>
      <c r="Y118" s="338"/>
      <c r="Z118" s="338"/>
      <c r="AA118" s="338"/>
      <c r="AB118" s="338"/>
      <c r="AC118" s="338"/>
      <c r="AD118" s="338"/>
      <c r="AE118" s="338"/>
      <c r="AF118" s="338"/>
      <c r="AG118" s="338"/>
      <c r="AH118" s="338"/>
      <c r="AI118" s="338"/>
      <c r="AJ118" s="338"/>
      <c r="AK118" s="338"/>
      <c r="AL118" s="338"/>
      <c r="AM118" s="338"/>
      <c r="AN118" s="338"/>
      <c r="AO118" s="338"/>
      <c r="AP118" s="338"/>
      <c r="AQ118" s="338"/>
      <c r="AR118" s="338"/>
      <c r="AS118" s="338"/>
      <c r="AT118" s="338"/>
      <c r="AU118" s="338"/>
      <c r="AV118" s="338"/>
      <c r="AW118" s="338"/>
      <c r="AX118" s="338"/>
      <c r="AY118" s="338"/>
      <c r="AZ118" s="338"/>
      <c r="BA118" s="338"/>
      <c r="BB118" s="338"/>
      <c r="BC118" s="338"/>
      <c r="BD118" s="341">
        <v>1</v>
      </c>
    </row>
    <row r="119" spans="1:56" ht="21" customHeight="1" x14ac:dyDescent="0.25">
      <c r="A119" s="338">
        <v>1</v>
      </c>
      <c r="B119" s="947"/>
      <c r="C119" s="373"/>
      <c r="D119" s="528" t="s">
        <v>4611</v>
      </c>
      <c r="E119" s="529">
        <f>IF(E113=0,0,E116*E117)</f>
        <v>57.6</v>
      </c>
      <c r="F119" s="530" t="str">
        <f>F113</f>
        <v>❹ Kg cru</v>
      </c>
      <c r="G119" s="531">
        <f>IF(E113=0,0,G116*E117)</f>
        <v>28.8</v>
      </c>
      <c r="H119" s="532" t="str">
        <f>H116</f>
        <v>❺ Kg cuit</v>
      </c>
      <c r="I119" s="490" t="str">
        <f>HYPERLINK("#"&amp;ADDRESS(ROW(E119),COLUMN(E119),4),_xlfn.UNICHAR(128269)&amp;"cellule "&amp;ADDRESS(ROW(E119),COLUMN(E119),4))</f>
        <v>🔍cellule E119</v>
      </c>
      <c r="J119" s="529">
        <f>E119</f>
        <v>57.6</v>
      </c>
      <c r="K119" s="442" t="str">
        <f ca="1">_xlfn.FORMULATEXT(E119)</f>
        <v>=SI(E113=0;0;E116*E117)</v>
      </c>
      <c r="L119" s="373"/>
      <c r="M119" s="373"/>
      <c r="N119" s="373"/>
      <c r="O119" s="373"/>
      <c r="P119" s="373"/>
      <c r="Q119" s="338"/>
      <c r="R119" s="338"/>
      <c r="S119" s="338"/>
      <c r="T119" s="338"/>
      <c r="U119" s="338"/>
      <c r="V119" s="338"/>
      <c r="W119" s="338"/>
      <c r="X119" s="338"/>
      <c r="Y119" s="338"/>
      <c r="Z119" s="338"/>
      <c r="AA119" s="338"/>
      <c r="AB119" s="338"/>
      <c r="AC119" s="338"/>
      <c r="AD119" s="338"/>
      <c r="AE119" s="338"/>
      <c r="AF119" s="338"/>
      <c r="AG119" s="338"/>
      <c r="AH119" s="338"/>
      <c r="AI119" s="338"/>
      <c r="AJ119" s="338"/>
      <c r="AK119" s="338"/>
      <c r="AL119" s="338"/>
      <c r="AM119" s="338"/>
      <c r="AN119" s="338"/>
      <c r="AO119" s="338"/>
      <c r="AP119" s="338"/>
      <c r="AQ119" s="338"/>
      <c r="AR119" s="338"/>
      <c r="AS119" s="338"/>
      <c r="AT119" s="338"/>
      <c r="AU119" s="338"/>
      <c r="AV119" s="338"/>
      <c r="AW119" s="338"/>
      <c r="AX119" s="338"/>
      <c r="AY119" s="338"/>
      <c r="AZ119" s="338"/>
      <c r="BA119" s="338"/>
      <c r="BB119" s="338"/>
      <c r="BC119" s="338"/>
      <c r="BD119" s="341">
        <v>1</v>
      </c>
    </row>
    <row r="120" spans="1:56" ht="21" customHeight="1" x14ac:dyDescent="0.25">
      <c r="A120" s="338">
        <v>1</v>
      </c>
      <c r="B120" s="947"/>
      <c r="C120" s="418"/>
      <c r="D120" s="533" t="s">
        <v>4612</v>
      </c>
      <c r="E120" s="534">
        <f>IF(E113=0,0,IF(MOD(E119,E113)&gt;MOD(E119,E113)/2,INT(E119/E113)+1,INT(E119/E113)))</f>
        <v>47</v>
      </c>
      <c r="F120" s="535" t="s">
        <v>4613</v>
      </c>
      <c r="G120" s="536">
        <f>IF(ISBLANK(E116),0,E113/E116)</f>
        <v>26.041666666666668</v>
      </c>
      <c r="H120" s="503"/>
      <c r="I120" s="490" t="str">
        <f>HYPERLINK("#"&amp;ADDRESS(ROW(E120),COLUMN(E120),4),_xlfn.UNICHAR(128269)&amp;"cellule "&amp;ADDRESS(ROW(E120),COLUMN(E120),4))</f>
        <v>🔍cellule E120</v>
      </c>
      <c r="J120" s="534">
        <f>E120</f>
        <v>47</v>
      </c>
      <c r="K120" s="442" t="str">
        <f ca="1">_xlfn.FORMULATEXT(E120)</f>
        <v>=SI(E113=0;0;SI(MOD(E119;E113)&gt;MOD(E119;E113)/2;ENT(E119/E113)+1;ENT(E119/E113)))</v>
      </c>
      <c r="L120" s="373"/>
      <c r="M120" s="373"/>
      <c r="N120" s="373"/>
      <c r="O120" s="373"/>
      <c r="P120" s="373"/>
      <c r="Q120" s="338"/>
      <c r="R120" s="338"/>
      <c r="S120" s="338"/>
      <c r="T120" s="338"/>
      <c r="U120" s="338"/>
      <c r="V120" s="338"/>
      <c r="W120" s="338"/>
      <c r="X120" s="338"/>
      <c r="Y120" s="338"/>
      <c r="Z120" s="338"/>
      <c r="AA120" s="338"/>
      <c r="AB120" s="338"/>
      <c r="AC120" s="338"/>
      <c r="AD120" s="338"/>
      <c r="AE120" s="338"/>
      <c r="AF120" s="338"/>
      <c r="AG120" s="338"/>
      <c r="AH120" s="338"/>
      <c r="AI120" s="338"/>
      <c r="AJ120" s="338"/>
      <c r="AK120" s="338"/>
      <c r="AL120" s="338"/>
      <c r="AM120" s="338"/>
      <c r="AN120" s="338"/>
      <c r="AO120" s="338"/>
      <c r="AP120" s="338"/>
      <c r="AQ120" s="338"/>
      <c r="AR120" s="338"/>
      <c r="AS120" s="338"/>
      <c r="AT120" s="338"/>
      <c r="AU120" s="338"/>
      <c r="AV120" s="338"/>
      <c r="AW120" s="338"/>
      <c r="AX120" s="338"/>
      <c r="AY120" s="338"/>
      <c r="AZ120" s="338"/>
      <c r="BA120" s="338"/>
      <c r="BB120" s="338"/>
      <c r="BC120" s="338"/>
      <c r="BD120" s="341">
        <v>1</v>
      </c>
    </row>
    <row r="121" spans="1:56" ht="21" customHeight="1" x14ac:dyDescent="0.25">
      <c r="A121" s="338">
        <v>1</v>
      </c>
      <c r="B121" s="947"/>
      <c r="C121" s="373"/>
      <c r="D121" s="533"/>
      <c r="E121" s="534"/>
      <c r="F121" s="537"/>
      <c r="G121" s="536"/>
      <c r="H121" s="503"/>
      <c r="I121" s="490" t="str">
        <f>HYPERLINK("#"&amp;ADDRESS(ROW(G120),COLUMN(G120),4),_xlfn.UNICHAR(128269)&amp;"cellule "&amp;ADDRESS(ROW(G120),COLUMN(G120),4))</f>
        <v>🔍cellule G120</v>
      </c>
      <c r="J121" s="536">
        <f>G120</f>
        <v>26.041666666666668</v>
      </c>
      <c r="K121" s="442" t="str">
        <f ca="1">_xlfn.FORMULATEXT(G120)</f>
        <v>=SI(ESTVIDE(E116);0;E113/E116)</v>
      </c>
      <c r="L121" s="373"/>
      <c r="M121" s="373"/>
      <c r="N121" s="373"/>
      <c r="O121" s="373"/>
      <c r="P121" s="373"/>
      <c r="Q121" s="338"/>
      <c r="R121" s="338"/>
      <c r="S121" s="338"/>
      <c r="T121" s="338"/>
      <c r="U121" s="338"/>
      <c r="V121" s="338"/>
      <c r="W121" s="338"/>
      <c r="X121" s="338"/>
      <c r="Y121" s="338"/>
      <c r="Z121" s="338"/>
      <c r="AA121" s="338"/>
      <c r="AB121" s="338"/>
      <c r="AC121" s="338"/>
      <c r="AD121" s="338"/>
      <c r="AE121" s="338"/>
      <c r="AF121" s="338"/>
      <c r="AG121" s="338"/>
      <c r="AH121" s="338"/>
      <c r="AI121" s="338"/>
      <c r="AJ121" s="338"/>
      <c r="AK121" s="338"/>
      <c r="AL121" s="338"/>
      <c r="AM121" s="338"/>
      <c r="AN121" s="338"/>
      <c r="AO121" s="338"/>
      <c r="AP121" s="338"/>
      <c r="AQ121" s="338"/>
      <c r="AR121" s="338"/>
      <c r="AS121" s="338"/>
      <c r="AT121" s="338"/>
      <c r="AU121" s="338"/>
      <c r="AV121" s="338"/>
      <c r="AW121" s="338"/>
      <c r="AX121" s="338"/>
      <c r="AY121" s="338"/>
      <c r="AZ121" s="338"/>
      <c r="BA121" s="338"/>
      <c r="BB121" s="338"/>
      <c r="BC121" s="338"/>
      <c r="BD121" s="341">
        <v>1</v>
      </c>
    </row>
    <row r="122" spans="1:56" ht="21" customHeight="1" x14ac:dyDescent="0.25">
      <c r="A122" s="338">
        <v>1</v>
      </c>
      <c r="B122" s="947"/>
      <c r="C122" s="938" t="s">
        <v>4614</v>
      </c>
      <c r="D122" s="938"/>
      <c r="E122" s="938"/>
      <c r="F122" s="938"/>
      <c r="G122" s="938"/>
      <c r="H122" s="939"/>
      <c r="I122" s="338"/>
      <c r="J122" s="338"/>
      <c r="K122" s="338"/>
      <c r="L122" s="338"/>
      <c r="M122" s="338"/>
      <c r="N122" s="338"/>
      <c r="O122" s="338"/>
      <c r="P122" s="338"/>
      <c r="Q122" s="338"/>
      <c r="R122" s="338"/>
      <c r="S122" s="338"/>
      <c r="T122" s="338"/>
      <c r="U122" s="338"/>
      <c r="V122" s="338"/>
      <c r="W122" s="338"/>
      <c r="X122" s="338"/>
      <c r="Y122" s="338"/>
      <c r="Z122" s="338"/>
      <c r="AA122" s="338"/>
      <c r="AB122" s="338"/>
      <c r="AC122" s="338"/>
      <c r="AD122" s="338"/>
      <c r="AE122" s="338"/>
      <c r="AF122" s="338"/>
      <c r="AG122" s="338"/>
      <c r="AH122" s="338"/>
      <c r="AI122" s="338"/>
      <c r="AJ122" s="338"/>
      <c r="AK122" s="338"/>
      <c r="AL122" s="338"/>
      <c r="AM122" s="338"/>
      <c r="AN122" s="338"/>
      <c r="AO122" s="338"/>
      <c r="AP122" s="338"/>
      <c r="AQ122" s="338"/>
      <c r="AR122" s="338"/>
      <c r="AS122" s="338"/>
      <c r="AT122" s="338"/>
      <c r="AU122" s="338"/>
      <c r="AV122" s="338"/>
      <c r="AW122" s="338"/>
      <c r="AX122" s="338"/>
      <c r="AY122" s="338"/>
      <c r="AZ122" s="338"/>
      <c r="BA122" s="338"/>
      <c r="BB122" s="338"/>
      <c r="BC122" s="338"/>
      <c r="BD122" s="341">
        <v>1</v>
      </c>
    </row>
    <row r="123" spans="1:56" ht="21" customHeight="1" x14ac:dyDescent="0.25">
      <c r="A123" s="338">
        <v>1</v>
      </c>
      <c r="B123" s="947"/>
      <c r="C123" s="938"/>
      <c r="D123" s="938"/>
      <c r="E123" s="938"/>
      <c r="F123" s="938"/>
      <c r="G123" s="938"/>
      <c r="H123" s="939"/>
      <c r="I123" s="338"/>
      <c r="J123" s="338"/>
      <c r="K123" s="338"/>
      <c r="L123" s="338"/>
      <c r="M123" s="338"/>
      <c r="N123" s="338"/>
      <c r="O123" s="338"/>
      <c r="P123" s="338"/>
      <c r="Q123" s="338"/>
      <c r="R123" s="338"/>
      <c r="S123" s="338"/>
      <c r="T123" s="338"/>
      <c r="U123" s="338"/>
      <c r="V123" s="338"/>
      <c r="W123" s="338"/>
      <c r="X123" s="338"/>
      <c r="Y123" s="338"/>
      <c r="Z123" s="338"/>
      <c r="AA123" s="338"/>
      <c r="AB123" s="338"/>
      <c r="AC123" s="338"/>
      <c r="AD123" s="338"/>
      <c r="AE123" s="338"/>
      <c r="AF123" s="338"/>
      <c r="AG123" s="338"/>
      <c r="AH123" s="338"/>
      <c r="AI123" s="338"/>
      <c r="AJ123" s="338"/>
      <c r="AK123" s="338"/>
      <c r="AL123" s="338"/>
      <c r="AM123" s="338"/>
      <c r="AN123" s="338"/>
      <c r="AO123" s="338"/>
      <c r="AP123" s="338"/>
      <c r="AQ123" s="338"/>
      <c r="AR123" s="338"/>
      <c r="AS123" s="338"/>
      <c r="AT123" s="338"/>
      <c r="AU123" s="338"/>
      <c r="AV123" s="338"/>
      <c r="AW123" s="338"/>
      <c r="AX123" s="338"/>
      <c r="AY123" s="338"/>
      <c r="AZ123" s="338"/>
      <c r="BA123" s="338"/>
      <c r="BB123" s="338"/>
      <c r="BC123" s="338"/>
      <c r="BD123" s="341">
        <v>1</v>
      </c>
    </row>
    <row r="124" spans="1:56" ht="21" customHeight="1" x14ac:dyDescent="0.25">
      <c r="A124" s="338">
        <v>1</v>
      </c>
      <c r="B124" s="947"/>
      <c r="C124" s="538" t="s">
        <v>4615</v>
      </c>
      <c r="D124" s="539"/>
      <c r="E124" s="539"/>
      <c r="F124" s="539"/>
      <c r="G124" s="539"/>
      <c r="H124" s="540"/>
      <c r="I124" s="338"/>
      <c r="J124" s="338"/>
      <c r="K124" s="338"/>
      <c r="L124" s="338"/>
      <c r="M124" s="338"/>
      <c r="N124" s="338"/>
      <c r="O124" s="338"/>
      <c r="P124" s="338"/>
      <c r="Q124" s="338"/>
      <c r="R124" s="338"/>
      <c r="S124" s="338"/>
      <c r="T124" s="338"/>
      <c r="U124" s="338"/>
      <c r="V124" s="338"/>
      <c r="W124" s="338"/>
      <c r="X124" s="338"/>
      <c r="Y124" s="338"/>
      <c r="Z124" s="338"/>
      <c r="AA124" s="338"/>
      <c r="AB124" s="338"/>
      <c r="AC124" s="338"/>
      <c r="AD124" s="338"/>
      <c r="AE124" s="338"/>
      <c r="AF124" s="338"/>
      <c r="AG124" s="338"/>
      <c r="AH124" s="338"/>
      <c r="AI124" s="338"/>
      <c r="AJ124" s="338"/>
      <c r="AK124" s="338"/>
      <c r="AL124" s="338"/>
      <c r="AM124" s="338"/>
      <c r="AN124" s="338"/>
      <c r="AO124" s="338"/>
      <c r="AP124" s="338"/>
      <c r="AQ124" s="338"/>
      <c r="AR124" s="338"/>
      <c r="AS124" s="338"/>
      <c r="AT124" s="338"/>
      <c r="AU124" s="338"/>
      <c r="AV124" s="338"/>
      <c r="AW124" s="338"/>
      <c r="AX124" s="338"/>
      <c r="AY124" s="338"/>
      <c r="AZ124" s="338"/>
      <c r="BA124" s="338"/>
      <c r="BB124" s="338"/>
      <c r="BC124" s="338"/>
      <c r="BD124" s="341">
        <v>1</v>
      </c>
    </row>
    <row r="125" spans="1:56" ht="21" customHeight="1" x14ac:dyDescent="0.25">
      <c r="A125" s="338">
        <v>1</v>
      </c>
      <c r="B125" s="947"/>
      <c r="C125" s="951" t="s">
        <v>4616</v>
      </c>
      <c r="D125" s="951"/>
      <c r="E125" s="951"/>
      <c r="F125" s="951"/>
      <c r="G125" s="951"/>
      <c r="H125" s="952"/>
      <c r="I125" s="338"/>
      <c r="J125" s="338"/>
      <c r="K125" s="338"/>
      <c r="L125" s="338"/>
      <c r="M125" s="338"/>
      <c r="N125" s="338"/>
      <c r="O125" s="338"/>
      <c r="P125" s="338"/>
      <c r="Q125" s="338"/>
      <c r="R125" s="338"/>
      <c r="S125" s="338"/>
      <c r="T125" s="338"/>
      <c r="U125" s="338"/>
      <c r="V125" s="338"/>
      <c r="W125" s="338"/>
      <c r="X125" s="338"/>
      <c r="Y125" s="338"/>
      <c r="Z125" s="338"/>
      <c r="AA125" s="338"/>
      <c r="AB125" s="338"/>
      <c r="AC125" s="338"/>
      <c r="AD125" s="338"/>
      <c r="AE125" s="338"/>
      <c r="AF125" s="338"/>
      <c r="AG125" s="338"/>
      <c r="AH125" s="338"/>
      <c r="AI125" s="338"/>
      <c r="AJ125" s="338"/>
      <c r="AK125" s="338"/>
      <c r="AL125" s="338"/>
      <c r="AM125" s="338"/>
      <c r="AN125" s="338"/>
      <c r="AO125" s="338"/>
      <c r="AP125" s="338"/>
      <c r="AQ125" s="338"/>
      <c r="AR125" s="338"/>
      <c r="AS125" s="338"/>
      <c r="AT125" s="338"/>
      <c r="AU125" s="338"/>
      <c r="AV125" s="338"/>
      <c r="AW125" s="338"/>
      <c r="AX125" s="338"/>
      <c r="AY125" s="338"/>
      <c r="AZ125" s="338"/>
      <c r="BA125" s="338"/>
      <c r="BB125" s="338"/>
      <c r="BC125" s="338"/>
      <c r="BD125" s="341">
        <v>1</v>
      </c>
    </row>
    <row r="126" spans="1:56" ht="21" customHeight="1" x14ac:dyDescent="0.25">
      <c r="A126" s="338">
        <v>1</v>
      </c>
      <c r="B126" s="947"/>
      <c r="C126" s="541" t="s">
        <v>4617</v>
      </c>
      <c r="D126" s="373"/>
      <c r="E126" s="373"/>
      <c r="F126" s="477" t="s">
        <v>4618</v>
      </c>
      <c r="G126" s="373"/>
      <c r="H126" s="503"/>
      <c r="I126" s="338"/>
      <c r="J126" s="338"/>
      <c r="K126" s="338"/>
      <c r="L126" s="338"/>
      <c r="M126" s="338"/>
      <c r="N126" s="338"/>
      <c r="O126" s="338"/>
      <c r="P126" s="338"/>
      <c r="Q126" s="338"/>
      <c r="R126" s="338"/>
      <c r="S126" s="338"/>
      <c r="T126" s="338"/>
      <c r="U126" s="338"/>
      <c r="V126" s="338"/>
      <c r="W126" s="338"/>
      <c r="X126" s="338"/>
      <c r="Y126" s="338"/>
      <c r="Z126" s="338"/>
      <c r="AA126" s="338"/>
      <c r="AB126" s="338"/>
      <c r="AC126" s="338"/>
      <c r="AD126" s="338"/>
      <c r="AE126" s="338"/>
      <c r="AF126" s="338"/>
      <c r="AG126" s="338"/>
      <c r="AH126" s="338"/>
      <c r="AI126" s="338"/>
      <c r="AJ126" s="338"/>
      <c r="AK126" s="338"/>
      <c r="AL126" s="338"/>
      <c r="AM126" s="338"/>
      <c r="AN126" s="338"/>
      <c r="AO126" s="338"/>
      <c r="AP126" s="338"/>
      <c r="AQ126" s="338"/>
      <c r="AR126" s="338"/>
      <c r="AS126" s="338"/>
      <c r="AT126" s="338"/>
      <c r="AU126" s="338"/>
      <c r="AV126" s="338"/>
      <c r="AW126" s="338"/>
      <c r="AX126" s="338"/>
      <c r="AY126" s="338"/>
      <c r="AZ126" s="338"/>
      <c r="BA126" s="338"/>
      <c r="BB126" s="338"/>
      <c r="BC126" s="338"/>
      <c r="BD126" s="341">
        <v>1</v>
      </c>
    </row>
    <row r="127" spans="1:56" ht="21" customHeight="1" x14ac:dyDescent="0.25">
      <c r="A127" s="338">
        <v>1</v>
      </c>
      <c r="B127" s="947"/>
      <c r="C127" s="542" t="s">
        <v>4604</v>
      </c>
      <c r="D127" s="373"/>
      <c r="E127" s="373"/>
      <c r="F127" s="543" t="s">
        <v>4619</v>
      </c>
      <c r="G127" s="373"/>
      <c r="H127" s="503"/>
      <c r="I127" s="338"/>
      <c r="J127" s="338"/>
      <c r="K127" s="338"/>
      <c r="L127" s="338"/>
      <c r="M127" s="338"/>
      <c r="N127" s="338"/>
      <c r="O127" s="338"/>
      <c r="P127" s="338"/>
      <c r="Q127" s="338"/>
      <c r="R127" s="338"/>
      <c r="S127" s="338"/>
      <c r="T127" s="338"/>
      <c r="U127" s="338"/>
      <c r="V127" s="338"/>
      <c r="W127" s="338"/>
      <c r="X127" s="338"/>
      <c r="Y127" s="338"/>
      <c r="Z127" s="338"/>
      <c r="AA127" s="338"/>
      <c r="AB127" s="338"/>
      <c r="AC127" s="338"/>
      <c r="AD127" s="338"/>
      <c r="AE127" s="338"/>
      <c r="AF127" s="338"/>
      <c r="AG127" s="338"/>
      <c r="AH127" s="338"/>
      <c r="AI127" s="338"/>
      <c r="AJ127" s="338"/>
      <c r="AK127" s="338"/>
      <c r="AL127" s="338"/>
      <c r="AM127" s="338"/>
      <c r="AN127" s="338"/>
      <c r="AO127" s="338"/>
      <c r="AP127" s="338"/>
      <c r="AQ127" s="338"/>
      <c r="AR127" s="338"/>
      <c r="AS127" s="338"/>
      <c r="AT127" s="338"/>
      <c r="AU127" s="338"/>
      <c r="AV127" s="338"/>
      <c r="AW127" s="338"/>
      <c r="AX127" s="338"/>
      <c r="AY127" s="338"/>
      <c r="AZ127" s="338"/>
      <c r="BA127" s="338"/>
      <c r="BB127" s="338"/>
      <c r="BC127" s="338"/>
      <c r="BD127" s="341">
        <v>1</v>
      </c>
    </row>
    <row r="128" spans="1:56" ht="21" customHeight="1" x14ac:dyDescent="0.25">
      <c r="A128" s="338">
        <v>1</v>
      </c>
      <c r="B128" s="947"/>
      <c r="C128" s="544" t="s">
        <v>4620</v>
      </c>
      <c r="D128" s="373"/>
      <c r="E128" s="373"/>
      <c r="F128" s="545" t="s">
        <v>4621</v>
      </c>
      <c r="G128" s="373"/>
      <c r="H128" s="503"/>
      <c r="I128" s="338"/>
      <c r="J128" s="338"/>
      <c r="K128" s="338"/>
      <c r="L128" s="338"/>
      <c r="M128" s="338"/>
      <c r="N128" s="338"/>
      <c r="O128" s="338"/>
      <c r="P128" s="338"/>
      <c r="Q128" s="338"/>
      <c r="R128" s="338"/>
      <c r="S128" s="338"/>
      <c r="T128" s="338"/>
      <c r="U128" s="338"/>
      <c r="V128" s="338"/>
      <c r="W128" s="338"/>
      <c r="X128" s="338"/>
      <c r="Y128" s="338"/>
      <c r="Z128" s="338"/>
      <c r="AA128" s="338"/>
      <c r="AB128" s="338"/>
      <c r="AC128" s="338"/>
      <c r="AD128" s="338"/>
      <c r="AE128" s="338"/>
      <c r="AF128" s="338"/>
      <c r="AG128" s="338"/>
      <c r="AH128" s="338"/>
      <c r="AI128" s="338"/>
      <c r="AJ128" s="338"/>
      <c r="AK128" s="338"/>
      <c r="AL128" s="338"/>
      <c r="AM128" s="338"/>
      <c r="AN128" s="338"/>
      <c r="AO128" s="338"/>
      <c r="AP128" s="338"/>
      <c r="AQ128" s="338"/>
      <c r="AR128" s="338"/>
      <c r="AS128" s="338"/>
      <c r="AT128" s="338"/>
      <c r="AU128" s="338"/>
      <c r="AV128" s="338"/>
      <c r="AW128" s="338"/>
      <c r="AX128" s="338"/>
      <c r="AY128" s="338"/>
      <c r="AZ128" s="338"/>
      <c r="BA128" s="338"/>
      <c r="BB128" s="338"/>
      <c r="BC128" s="338"/>
      <c r="BD128" s="341">
        <v>1</v>
      </c>
    </row>
    <row r="129" spans="1:56" ht="21" customHeight="1" x14ac:dyDescent="0.25">
      <c r="A129" s="338">
        <v>1</v>
      </c>
      <c r="B129" s="947"/>
      <c r="C129" s="477"/>
      <c r="D129" s="514" t="s">
        <v>4595</v>
      </c>
      <c r="E129" s="373"/>
      <c r="F129" s="546" t="s">
        <v>4622</v>
      </c>
      <c r="G129" s="373"/>
      <c r="H129" s="503"/>
      <c r="I129" s="338"/>
      <c r="J129" s="338"/>
      <c r="K129" s="338"/>
      <c r="L129" s="338"/>
      <c r="M129" s="338"/>
      <c r="N129" s="338"/>
      <c r="O129" s="338"/>
      <c r="P129" s="338"/>
      <c r="Q129" s="338"/>
      <c r="R129" s="338"/>
      <c r="S129" s="338"/>
      <c r="T129" s="547"/>
      <c r="U129" s="338"/>
      <c r="V129" s="338"/>
      <c r="W129" s="338"/>
      <c r="X129" s="338"/>
      <c r="Y129" s="338"/>
      <c r="Z129" s="338"/>
      <c r="AA129" s="338"/>
      <c r="AB129" s="338"/>
      <c r="AC129" s="338"/>
      <c r="AD129" s="338"/>
      <c r="AE129" s="338"/>
      <c r="AF129" s="338"/>
      <c r="AG129" s="338"/>
      <c r="AH129" s="338"/>
      <c r="AI129" s="338"/>
      <c r="AJ129" s="338"/>
      <c r="AK129" s="338"/>
      <c r="AL129" s="338"/>
      <c r="AM129" s="338"/>
      <c r="AN129" s="338"/>
      <c r="AO129" s="338"/>
      <c r="AP129" s="338"/>
      <c r="AQ129" s="338"/>
      <c r="AR129" s="338"/>
      <c r="AS129" s="338"/>
      <c r="AT129" s="338"/>
      <c r="AU129" s="338"/>
      <c r="AV129" s="338"/>
      <c r="AW129" s="338"/>
      <c r="AX129" s="338"/>
      <c r="AY129" s="338"/>
      <c r="AZ129" s="338"/>
      <c r="BA129" s="338"/>
      <c r="BB129" s="338"/>
      <c r="BC129" s="338"/>
      <c r="BD129" s="341">
        <v>1</v>
      </c>
    </row>
    <row r="130" spans="1:56" ht="21" customHeight="1" x14ac:dyDescent="0.25">
      <c r="A130" s="338">
        <v>1</v>
      </c>
      <c r="B130" s="947"/>
      <c r="C130" s="479"/>
      <c r="D130" s="548" t="s">
        <v>4597</v>
      </c>
      <c r="E130" s="373"/>
      <c r="F130" s="549" t="s">
        <v>4623</v>
      </c>
      <c r="G130" s="373"/>
      <c r="H130" s="503"/>
      <c r="I130" s="338"/>
      <c r="J130" s="338"/>
      <c r="K130" s="338"/>
      <c r="L130" s="338"/>
      <c r="M130" s="338"/>
      <c r="N130" s="338"/>
      <c r="O130" s="338"/>
      <c r="P130" s="338"/>
      <c r="Q130" s="338"/>
      <c r="R130" s="338"/>
      <c r="S130" s="338"/>
      <c r="T130" s="338"/>
      <c r="U130" s="338"/>
      <c r="V130" s="338"/>
      <c r="W130" s="338"/>
      <c r="X130" s="338"/>
      <c r="Y130" s="338"/>
      <c r="Z130" s="338"/>
      <c r="AA130" s="338"/>
      <c r="AB130" s="338"/>
      <c r="AC130" s="338"/>
      <c r="AD130" s="338"/>
      <c r="AE130" s="338"/>
      <c r="AF130" s="338"/>
      <c r="AG130" s="338"/>
      <c r="AH130" s="338"/>
      <c r="AI130" s="338"/>
      <c r="AJ130" s="338"/>
      <c r="AK130" s="338"/>
      <c r="AL130" s="338"/>
      <c r="AM130" s="338"/>
      <c r="AN130" s="338"/>
      <c r="AO130" s="338"/>
      <c r="AP130" s="338"/>
      <c r="AQ130" s="338"/>
      <c r="AR130" s="338"/>
      <c r="AS130" s="338"/>
      <c r="AT130" s="338"/>
      <c r="AU130" s="338"/>
      <c r="AV130" s="338"/>
      <c r="AW130" s="338"/>
      <c r="AX130" s="338"/>
      <c r="AY130" s="338"/>
      <c r="AZ130" s="338"/>
      <c r="BA130" s="338"/>
      <c r="BB130" s="338"/>
      <c r="BC130" s="338"/>
      <c r="BD130" s="341">
        <v>1</v>
      </c>
    </row>
    <row r="131" spans="1:56" ht="21" customHeight="1" x14ac:dyDescent="0.25">
      <c r="A131" s="338">
        <v>1</v>
      </c>
      <c r="B131" s="947"/>
      <c r="C131" s="550"/>
      <c r="D131" s="373"/>
      <c r="E131" s="551" t="s">
        <v>4624</v>
      </c>
      <c r="F131" s="549"/>
      <c r="G131" s="550" t="s">
        <v>4625</v>
      </c>
      <c r="H131" s="552" t="str">
        <f>ADDRESS(ROW(F113),COLUMN(F113),4)</f>
        <v>F113</v>
      </c>
      <c r="I131" s="338"/>
      <c r="J131" s="338"/>
      <c r="K131" s="338"/>
      <c r="L131" s="338"/>
      <c r="M131" s="338"/>
      <c r="N131" s="338"/>
      <c r="O131" s="338"/>
      <c r="P131" s="338"/>
      <c r="Q131" s="338"/>
      <c r="R131" s="338"/>
      <c r="S131" s="338"/>
      <c r="T131" s="338"/>
      <c r="U131" s="338"/>
      <c r="V131" s="338"/>
      <c r="W131" s="338"/>
      <c r="X131" s="338"/>
      <c r="Y131" s="338"/>
      <c r="Z131" s="338"/>
      <c r="AA131" s="338"/>
      <c r="AB131" s="338"/>
      <c r="AC131" s="338"/>
      <c r="AD131" s="338"/>
      <c r="AE131" s="338"/>
      <c r="AF131" s="338"/>
      <c r="AG131" s="338"/>
      <c r="AH131" s="338"/>
      <c r="AI131" s="338"/>
      <c r="AJ131" s="338"/>
      <c r="AK131" s="338"/>
      <c r="AL131" s="338"/>
      <c r="AM131" s="338"/>
      <c r="AN131" s="338"/>
      <c r="AO131" s="338"/>
      <c r="AP131" s="338"/>
      <c r="AQ131" s="338"/>
      <c r="AR131" s="338"/>
      <c r="AS131" s="338"/>
      <c r="AT131" s="338"/>
      <c r="AU131" s="338"/>
      <c r="AV131" s="338"/>
      <c r="AW131" s="338"/>
      <c r="AX131" s="338"/>
      <c r="AY131" s="338"/>
      <c r="AZ131" s="338"/>
      <c r="BA131" s="338"/>
      <c r="BB131" s="338"/>
      <c r="BC131" s="338"/>
      <c r="BD131" s="341">
        <v>1</v>
      </c>
    </row>
    <row r="132" spans="1:56" ht="21" customHeight="1" x14ac:dyDescent="0.25">
      <c r="A132" s="338">
        <v>1</v>
      </c>
      <c r="B132" s="947"/>
      <c r="C132" s="406" t="s">
        <v>4626</v>
      </c>
      <c r="D132" s="553"/>
      <c r="E132" s="551"/>
      <c r="F132" s="406" t="s">
        <v>4627</v>
      </c>
      <c r="G132" s="373"/>
      <c r="H132" s="503"/>
      <c r="I132" s="338"/>
      <c r="J132" s="338"/>
      <c r="K132" s="338"/>
      <c r="L132" s="338"/>
      <c r="M132" s="338"/>
      <c r="N132" s="338"/>
      <c r="O132" s="338"/>
      <c r="U132" s="338"/>
      <c r="V132" s="338"/>
      <c r="W132" s="338"/>
      <c r="X132" s="338"/>
      <c r="Y132" s="338"/>
      <c r="Z132" s="338"/>
      <c r="AA132" s="338"/>
      <c r="AB132" s="338"/>
      <c r="AC132" s="338"/>
      <c r="AD132" s="338"/>
      <c r="AE132" s="338"/>
      <c r="AF132" s="338"/>
      <c r="AG132" s="338"/>
      <c r="AH132" s="338"/>
      <c r="AI132" s="338"/>
      <c r="AJ132" s="338"/>
      <c r="AK132" s="338"/>
      <c r="AL132" s="338"/>
      <c r="AM132" s="338"/>
      <c r="AN132" s="338"/>
      <c r="AO132" s="338"/>
      <c r="AP132" s="338"/>
      <c r="AQ132" s="338"/>
      <c r="AR132" s="338"/>
      <c r="AS132" s="338"/>
      <c r="AT132" s="338"/>
      <c r="AU132" s="338"/>
      <c r="AV132" s="338"/>
      <c r="AW132" s="338"/>
      <c r="AX132" s="338"/>
      <c r="AY132" s="338"/>
      <c r="AZ132" s="338"/>
      <c r="BA132" s="338"/>
      <c r="BB132" s="338"/>
      <c r="BC132" s="338"/>
      <c r="BD132" s="341">
        <v>1</v>
      </c>
    </row>
    <row r="133" spans="1:56" ht="21" customHeight="1" x14ac:dyDescent="0.25">
      <c r="A133" s="338">
        <v>1</v>
      </c>
      <c r="B133" s="947"/>
      <c r="C133" s="409">
        <v>11</v>
      </c>
      <c r="D133" s="409">
        <v>11</v>
      </c>
      <c r="E133" s="409">
        <v>11</v>
      </c>
      <c r="F133" s="409">
        <v>11</v>
      </c>
      <c r="G133" s="409">
        <v>11</v>
      </c>
      <c r="H133" s="410">
        <v>11</v>
      </c>
      <c r="I133" s="411" t="s">
        <v>4529</v>
      </c>
      <c r="J133" s="418"/>
      <c r="K133" s="418"/>
      <c r="L133" s="338"/>
      <c r="M133" s="338"/>
      <c r="N133" s="338"/>
      <c r="O133" s="338"/>
      <c r="P133" s="338"/>
      <c r="Q133" s="338"/>
      <c r="R133" s="338"/>
      <c r="S133" s="338"/>
      <c r="T133" s="338"/>
      <c r="U133" s="338"/>
      <c r="V133" s="338"/>
      <c r="W133" s="338"/>
      <c r="X133" s="338"/>
      <c r="Y133" s="338"/>
      <c r="Z133" s="338"/>
      <c r="AA133" s="338"/>
      <c r="AB133" s="338"/>
      <c r="AC133" s="338"/>
      <c r="AD133" s="338"/>
      <c r="AE133" s="338"/>
      <c r="AF133" s="338"/>
      <c r="AG133" s="338"/>
      <c r="AH133" s="338"/>
      <c r="AI133" s="338"/>
      <c r="AJ133" s="338"/>
      <c r="AK133" s="338"/>
      <c r="AL133" s="338"/>
      <c r="AM133" s="338"/>
      <c r="AN133" s="338"/>
      <c r="AO133" s="338"/>
      <c r="AP133" s="338"/>
      <c r="AQ133" s="338"/>
      <c r="AR133" s="338"/>
      <c r="AS133" s="338"/>
      <c r="AT133" s="338"/>
      <c r="AU133" s="338"/>
      <c r="AV133" s="338"/>
      <c r="AW133" s="338"/>
      <c r="AX133" s="338"/>
      <c r="AY133" s="338"/>
      <c r="AZ133" s="338"/>
      <c r="BA133" s="338"/>
      <c r="BB133" s="338"/>
      <c r="BC133" s="338"/>
      <c r="BD133" s="341">
        <v>1</v>
      </c>
    </row>
    <row r="134" spans="1:56" ht="21" customHeight="1" thickBot="1" x14ac:dyDescent="0.3">
      <c r="A134" s="338">
        <v>1</v>
      </c>
      <c r="B134" s="948"/>
      <c r="C134" s="416">
        <f t="shared" ref="C134:H134" ca="1" si="8">INDEX(CELL("largeur",C134),1,1)</f>
        <v>13</v>
      </c>
      <c r="D134" s="416">
        <f t="shared" ca="1" si="8"/>
        <v>21</v>
      </c>
      <c r="E134" s="416">
        <f t="shared" ca="1" si="8"/>
        <v>13</v>
      </c>
      <c r="F134" s="416">
        <f t="shared" ca="1" si="8"/>
        <v>13</v>
      </c>
      <c r="G134" s="416">
        <f t="shared" ca="1" si="8"/>
        <v>13</v>
      </c>
      <c r="H134" s="417">
        <f t="shared" ca="1" si="8"/>
        <v>13</v>
      </c>
      <c r="I134" s="411" t="s">
        <v>4532</v>
      </c>
      <c r="J134" s="418"/>
      <c r="K134" s="338"/>
      <c r="L134" s="338"/>
      <c r="M134" s="338"/>
      <c r="N134" s="338"/>
      <c r="O134" s="338"/>
      <c r="P134" s="338"/>
      <c r="Q134" s="338"/>
      <c r="R134" s="338"/>
      <c r="S134" s="338"/>
      <c r="T134" s="338"/>
      <c r="U134" s="338"/>
      <c r="V134" s="338"/>
      <c r="W134" s="338"/>
      <c r="X134" s="338"/>
      <c r="Y134" s="338"/>
      <c r="Z134" s="338"/>
      <c r="AA134" s="338"/>
      <c r="AB134" s="338"/>
      <c r="AC134" s="338"/>
      <c r="AD134" s="338"/>
      <c r="AE134" s="338"/>
      <c r="AF134" s="338"/>
      <c r="AG134" s="338"/>
      <c r="AH134" s="338"/>
      <c r="AI134" s="338"/>
      <c r="AJ134" s="338"/>
      <c r="AK134" s="338"/>
      <c r="AL134" s="338"/>
      <c r="AM134" s="338"/>
      <c r="AN134" s="338"/>
      <c r="AO134" s="338"/>
      <c r="AP134" s="338"/>
      <c r="AQ134" s="338"/>
      <c r="AR134" s="338"/>
      <c r="AS134" s="338"/>
      <c r="AT134" s="338"/>
      <c r="AU134" s="338"/>
      <c r="AV134" s="338"/>
      <c r="AW134" s="338"/>
      <c r="AX134" s="338"/>
      <c r="AY134" s="338"/>
      <c r="AZ134" s="338"/>
      <c r="BA134" s="338"/>
      <c r="BB134" s="338"/>
      <c r="BC134" s="338"/>
      <c r="BD134" s="341">
        <v>1</v>
      </c>
    </row>
    <row r="135" spans="1:56" ht="21" customHeight="1" x14ac:dyDescent="0.25">
      <c r="A135" s="338"/>
      <c r="B135" s="338"/>
      <c r="C135" s="338"/>
      <c r="D135" s="338"/>
      <c r="E135" s="338"/>
      <c r="F135" s="338"/>
      <c r="G135" s="338"/>
      <c r="H135" s="338"/>
      <c r="I135" s="338"/>
      <c r="J135" s="338">
        <v>1</v>
      </c>
      <c r="K135" s="554" t="s">
        <v>4588</v>
      </c>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8"/>
      <c r="AY135" s="338"/>
      <c r="AZ135" s="338"/>
      <c r="BA135" s="338"/>
      <c r="BB135" s="338"/>
      <c r="BC135" s="338"/>
      <c r="BD135" s="341">
        <v>1</v>
      </c>
    </row>
    <row r="136" spans="1:56" ht="21" customHeight="1" thickBot="1" x14ac:dyDescent="0.3">
      <c r="A136" s="338"/>
      <c r="B136" s="366" t="s">
        <v>4628</v>
      </c>
      <c r="C136" s="366"/>
      <c r="D136" s="338"/>
      <c r="E136" s="338"/>
      <c r="F136" s="338"/>
      <c r="G136" s="338"/>
      <c r="H136" s="338"/>
      <c r="I136" s="555" t="s">
        <v>4629</v>
      </c>
      <c r="J136" s="338"/>
      <c r="K136" s="554" t="s">
        <v>4591</v>
      </c>
      <c r="L136" s="338"/>
      <c r="M136" s="338"/>
      <c r="N136" s="338"/>
      <c r="O136" s="338"/>
      <c r="P136" s="338"/>
      <c r="Q136" s="338"/>
      <c r="R136" s="338"/>
      <c r="S136" s="338"/>
      <c r="T136" s="338"/>
      <c r="U136" s="338"/>
      <c r="V136" s="338"/>
      <c r="W136" s="338"/>
      <c r="X136" s="338"/>
      <c r="Y136" s="338"/>
      <c r="Z136" s="338"/>
      <c r="AA136" s="338"/>
      <c r="AB136" s="338"/>
      <c r="AC136" s="338"/>
      <c r="AD136" s="338"/>
      <c r="AE136" s="338"/>
      <c r="AF136" s="338"/>
      <c r="AG136" s="338"/>
      <c r="AH136" s="338"/>
      <c r="AI136" s="338"/>
      <c r="AJ136" s="338"/>
      <c r="AK136" s="338"/>
      <c r="AL136" s="338"/>
      <c r="AM136" s="338"/>
      <c r="AN136" s="338"/>
      <c r="AO136" s="338"/>
      <c r="AP136" s="338"/>
      <c r="AQ136" s="338"/>
      <c r="AR136" s="338"/>
      <c r="AS136" s="338"/>
      <c r="AT136" s="338"/>
      <c r="AU136" s="338"/>
      <c r="AV136" s="338"/>
      <c r="AW136" s="338"/>
      <c r="AX136" s="338"/>
      <c r="AY136" s="338"/>
      <c r="AZ136" s="338"/>
      <c r="BA136" s="338"/>
      <c r="BB136" s="338"/>
      <c r="BC136" s="338"/>
      <c r="BD136" s="341">
        <v>1</v>
      </c>
    </row>
    <row r="137" spans="1:56" ht="21" customHeight="1" x14ac:dyDescent="0.25">
      <c r="A137" s="338">
        <v>1</v>
      </c>
      <c r="B137" s="944" t="s">
        <v>4491</v>
      </c>
      <c r="C137" s="953" t="s">
        <v>4599</v>
      </c>
      <c r="D137" s="953"/>
      <c r="E137" s="953"/>
      <c r="F137" s="953"/>
      <c r="G137" s="556"/>
      <c r="H137" s="557" t="str">
        <f>E145</f>
        <v>❻ Foisonnement</v>
      </c>
      <c r="I137" s="558" t="s">
        <v>4630</v>
      </c>
      <c r="J137" s="418"/>
      <c r="K137" s="418"/>
      <c r="L137" s="484" t="s">
        <v>4511</v>
      </c>
      <c r="M137" s="338"/>
      <c r="N137" s="338"/>
      <c r="O137" s="338"/>
      <c r="P137" s="338"/>
      <c r="Q137" s="338"/>
      <c r="R137" s="338"/>
      <c r="S137" s="338"/>
      <c r="T137" s="338"/>
      <c r="U137" s="338"/>
      <c r="V137" s="338"/>
      <c r="W137" s="338"/>
      <c r="X137" s="338"/>
      <c r="Y137" s="338"/>
      <c r="Z137" s="338"/>
      <c r="AA137" s="338"/>
      <c r="AB137" s="338"/>
      <c r="AC137" s="338"/>
      <c r="AD137" s="338"/>
      <c r="AE137" s="338"/>
      <c r="AF137" s="338"/>
      <c r="AG137" s="338"/>
      <c r="AH137" s="338"/>
      <c r="AI137" s="338"/>
      <c r="AJ137" s="338"/>
      <c r="AK137" s="338"/>
      <c r="AL137" s="338"/>
      <c r="AM137" s="338"/>
      <c r="AN137" s="338"/>
      <c r="AO137" s="338"/>
      <c r="AP137" s="338"/>
      <c r="AQ137" s="338"/>
      <c r="AR137" s="338"/>
      <c r="AS137" s="338"/>
      <c r="AT137" s="338"/>
      <c r="AU137" s="338"/>
      <c r="AV137" s="338"/>
      <c r="AW137" s="338"/>
      <c r="AX137" s="338"/>
      <c r="AY137" s="338"/>
      <c r="AZ137" s="338"/>
      <c r="BA137" s="338"/>
      <c r="BB137" s="338"/>
      <c r="BC137" s="338"/>
      <c r="BD137" s="341">
        <v>1</v>
      </c>
    </row>
    <row r="138" spans="1:56" ht="21" customHeight="1" x14ac:dyDescent="0.25">
      <c r="A138" s="338"/>
      <c r="B138" s="945"/>
      <c r="C138" s="559"/>
      <c r="D138" s="559"/>
      <c r="E138" s="560"/>
      <c r="F138" s="561" t="s">
        <v>4631</v>
      </c>
      <c r="G138" s="562" t="str">
        <f>IF(F144=D160,"CRU- Brut ou à cuire","CUIT - Net à servir")</f>
        <v>CUIT - Net à servir</v>
      </c>
      <c r="H138" s="563"/>
      <c r="I138" s="564" t="str">
        <f>HYPERLINK("#"&amp;ADDRESS(ROW(G138),COLUMN(G138),4),"◀"&amp;ADDRESS(ROW(G138),COLUMN(G138),4))</f>
        <v>◀G138</v>
      </c>
      <c r="J138" s="565" t="str">
        <f>G138</f>
        <v>CUIT - Net à servir</v>
      </c>
      <c r="K138" s="442" t="str">
        <f ca="1">_xlfn.FORMULATEXT(G138)</f>
        <v>=SI(F144=D160;"CRU- Brut ou à cuire";"CUIT - Net à servir")</v>
      </c>
      <c r="L138" s="338"/>
      <c r="M138" s="338"/>
      <c r="N138" s="338"/>
      <c r="O138" s="338"/>
      <c r="P138" s="338"/>
      <c r="Q138" s="338"/>
      <c r="R138" s="338"/>
      <c r="S138" s="338"/>
      <c r="T138" s="338"/>
      <c r="U138" s="338"/>
      <c r="V138" s="338"/>
      <c r="W138" s="338"/>
      <c r="X138" s="338"/>
      <c r="Y138" s="338"/>
      <c r="Z138" s="338"/>
      <c r="AA138" s="338"/>
      <c r="AB138" s="338"/>
      <c r="AC138" s="338"/>
      <c r="AD138" s="338"/>
      <c r="AE138" s="338"/>
      <c r="AF138" s="338"/>
      <c r="AG138" s="338"/>
      <c r="AH138" s="338"/>
      <c r="AI138" s="338"/>
      <c r="AJ138" s="338"/>
      <c r="AK138" s="338"/>
      <c r="AL138" s="338"/>
      <c r="AM138" s="338"/>
      <c r="AN138" s="338"/>
      <c r="AO138" s="338"/>
      <c r="AP138" s="338"/>
      <c r="AQ138" s="338"/>
      <c r="AR138" s="338"/>
      <c r="AS138" s="338"/>
      <c r="AT138" s="338"/>
      <c r="AU138" s="338"/>
      <c r="AV138" s="338"/>
      <c r="AW138" s="338"/>
      <c r="AX138" s="338"/>
      <c r="AY138" s="338"/>
      <c r="AZ138" s="338"/>
      <c r="BA138" s="338"/>
      <c r="BB138" s="338"/>
      <c r="BC138" s="338"/>
      <c r="BD138" s="341">
        <v>1</v>
      </c>
    </row>
    <row r="139" spans="1:56" ht="21" customHeight="1" x14ac:dyDescent="0.25">
      <c r="A139" s="338"/>
      <c r="B139" s="954">
        <v>3</v>
      </c>
      <c r="C139" s="956" t="str">
        <f>D141</f>
        <v>Semoule (poids cru)</v>
      </c>
      <c r="D139" s="956"/>
      <c r="E139" s="956"/>
      <c r="F139" s="956"/>
      <c r="G139" s="956"/>
      <c r="H139" s="957"/>
      <c r="I139" s="564" t="str">
        <f>HYPERLINK("#"&amp;ADDRESS(ROW(E140),COLUMN(E140),4),"◀"&amp;ADDRESS(ROW(E140),COLUMN(E140),4))</f>
        <v>◀E140</v>
      </c>
      <c r="J139" s="566">
        <f>E140</f>
        <v>5</v>
      </c>
      <c r="K139" s="442" t="str">
        <f ca="1">_xlfn.FORMULATEXT(E140)</f>
        <v>=ENT(E150/E144)</v>
      </c>
      <c r="L139" s="338"/>
      <c r="M139" s="338"/>
      <c r="N139" s="338"/>
      <c r="O139" s="338"/>
      <c r="P139" s="338"/>
      <c r="Q139" s="338"/>
      <c r="R139" s="338"/>
      <c r="S139" s="338"/>
      <c r="T139" s="338"/>
      <c r="U139" s="338"/>
      <c r="V139" s="338"/>
      <c r="W139" s="338"/>
      <c r="X139" s="338"/>
      <c r="Y139" s="338"/>
      <c r="Z139" s="338"/>
      <c r="AA139" s="338"/>
      <c r="AB139" s="338"/>
      <c r="AC139" s="338"/>
      <c r="AD139" s="338"/>
      <c r="AE139" s="338"/>
      <c r="AF139" s="338"/>
      <c r="AG139" s="338"/>
      <c r="AH139" s="338"/>
      <c r="AI139" s="338"/>
      <c r="AJ139" s="338"/>
      <c r="AK139" s="338"/>
      <c r="AL139" s="338"/>
      <c r="AM139" s="338"/>
      <c r="AN139" s="338"/>
      <c r="AO139" s="338"/>
      <c r="AP139" s="338"/>
      <c r="AQ139" s="338"/>
      <c r="AR139" s="338"/>
      <c r="AS139" s="338"/>
      <c r="AT139" s="338"/>
      <c r="AU139" s="338"/>
      <c r="AV139" s="338"/>
      <c r="AW139" s="338"/>
      <c r="AX139" s="338"/>
      <c r="AY139" s="338"/>
      <c r="AZ139" s="338"/>
      <c r="BA139" s="338"/>
      <c r="BB139" s="338"/>
      <c r="BC139" s="338"/>
      <c r="BD139" s="341">
        <v>1</v>
      </c>
    </row>
    <row r="140" spans="1:56" ht="21" customHeight="1" x14ac:dyDescent="0.25">
      <c r="A140" s="338"/>
      <c r="B140" s="954"/>
      <c r="C140" s="567"/>
      <c r="D140" s="568" t="s">
        <v>4601</v>
      </c>
      <c r="E140" s="569">
        <f>INT(E150/E144)</f>
        <v>5</v>
      </c>
      <c r="F140" s="570">
        <f>IF(E140=0,0,IF(E151=0,0,E144))</f>
        <v>1</v>
      </c>
      <c r="G140" s="571" t="str">
        <f>IF(F140*E140=0,"1 de",IF(E150=0,0,IF(E144=0,0,IF(F140*E140=E150,"",IF(H140&gt;0,"Plus 1 de")))))</f>
        <v/>
      </c>
      <c r="H140" s="572" t="str">
        <f>IF(E144=0,0,IF(F140*E140=E150,"",MOD(E150,E144)))</f>
        <v/>
      </c>
      <c r="I140" s="564" t="str">
        <f>HYPERLINK("#"&amp;ADDRESS(ROW(F140),COLUMN(F140),4),"◀"&amp;ADDRESS(ROW(F140),COLUMN(F140),4))</f>
        <v>◀F140</v>
      </c>
      <c r="J140" s="573">
        <f>F140</f>
        <v>1</v>
      </c>
      <c r="K140" s="442" t="str">
        <f ca="1">_xlfn.FORMULATEXT(F140)</f>
        <v>=SI(E140=0;0;SI(E151=0;0;E144))</v>
      </c>
      <c r="L140" s="338"/>
      <c r="M140" s="338"/>
      <c r="N140" s="338"/>
      <c r="O140" s="338"/>
      <c r="P140" s="338"/>
      <c r="Q140" s="338"/>
      <c r="R140" s="338"/>
      <c r="S140" s="338"/>
      <c r="T140" s="338"/>
      <c r="U140" s="338"/>
      <c r="V140" s="338"/>
      <c r="W140" s="338"/>
      <c r="X140" s="338"/>
      <c r="Y140" s="338"/>
      <c r="Z140" s="338"/>
      <c r="AA140" s="338"/>
      <c r="AB140" s="338"/>
      <c r="AC140" s="338"/>
      <c r="AD140" s="338"/>
      <c r="AE140" s="338"/>
      <c r="AF140" s="338"/>
      <c r="AG140" s="338"/>
      <c r="AH140" s="338"/>
      <c r="AI140" s="338"/>
      <c r="AJ140" s="338"/>
      <c r="AK140" s="338"/>
      <c r="AL140" s="338"/>
      <c r="AM140" s="338"/>
      <c r="AN140" s="338"/>
      <c r="AO140" s="338"/>
      <c r="AP140" s="338"/>
      <c r="AQ140" s="338"/>
      <c r="AR140" s="338"/>
      <c r="AS140" s="338"/>
      <c r="AT140" s="338"/>
      <c r="AU140" s="338"/>
      <c r="AV140" s="338"/>
      <c r="AW140" s="338"/>
      <c r="AX140" s="338"/>
      <c r="AY140" s="338"/>
      <c r="AZ140" s="338"/>
      <c r="BA140" s="338"/>
      <c r="BB140" s="338"/>
      <c r="BC140" s="338"/>
      <c r="BD140" s="341">
        <v>1</v>
      </c>
    </row>
    <row r="141" spans="1:56" ht="21" customHeight="1" x14ac:dyDescent="0.25">
      <c r="A141" s="338"/>
      <c r="B141" s="954"/>
      <c r="C141" s="574" t="s">
        <v>4632</v>
      </c>
      <c r="D141" s="575" t="s">
        <v>4633</v>
      </c>
      <c r="E141" s="502"/>
      <c r="F141" s="373"/>
      <c r="G141" s="373"/>
      <c r="H141" s="503"/>
      <c r="I141" s="564" t="str">
        <f>HYPERLINK("#"&amp;ADDRESS(ROW(G140),COLUMN(G140),4),"◀"&amp;ADDRESS(ROW(G140),COLUMN(G140),4))</f>
        <v>◀G140</v>
      </c>
      <c r="J141" s="576" t="str">
        <f>G140</f>
        <v/>
      </c>
      <c r="K141" s="442" t="str">
        <f ca="1">_xlfn.FORMULATEXT(G140)</f>
        <v>=SI(F140*E140=0;"1 de";SI(E150=0;0;SI(E144=0;0;SI(F140*E140=E150;"";SI(H140&gt;0;"Plus 1 de")))))</v>
      </c>
      <c r="L141" s="338"/>
      <c r="M141" s="338"/>
      <c r="N141" s="338"/>
      <c r="O141" s="338"/>
      <c r="P141" s="338"/>
      <c r="Q141" s="338"/>
      <c r="R141" s="338"/>
      <c r="S141" s="338"/>
      <c r="T141" s="338"/>
      <c r="U141" s="338"/>
      <c r="V141" s="338"/>
      <c r="W141" s="338"/>
      <c r="X141" s="338"/>
      <c r="Y141" s="338"/>
      <c r="Z141" s="338"/>
      <c r="AA141" s="338"/>
      <c r="AB141" s="338"/>
      <c r="AC141" s="338"/>
      <c r="AD141" s="338"/>
      <c r="AE141" s="338"/>
      <c r="AF141" s="338"/>
      <c r="AG141" s="338"/>
      <c r="AH141" s="338"/>
      <c r="AI141" s="338"/>
      <c r="AJ141" s="338"/>
      <c r="AK141" s="338"/>
      <c r="AL141" s="338"/>
      <c r="AM141" s="338"/>
      <c r="AN141" s="338"/>
      <c r="AO141" s="338"/>
      <c r="AP141" s="338"/>
      <c r="AQ141" s="338"/>
      <c r="AR141" s="338"/>
      <c r="AS141" s="338"/>
      <c r="AT141" s="338"/>
      <c r="AU141" s="338"/>
      <c r="AV141" s="338"/>
      <c r="AW141" s="338"/>
      <c r="AX141" s="338"/>
      <c r="AY141" s="338"/>
      <c r="AZ141" s="338"/>
      <c r="BA141" s="338"/>
      <c r="BB141" s="338"/>
      <c r="BC141" s="338"/>
      <c r="BD141" s="341">
        <v>1</v>
      </c>
    </row>
    <row r="142" spans="1:56" ht="21" customHeight="1" x14ac:dyDescent="0.25">
      <c r="A142" s="338"/>
      <c r="B142" s="954"/>
      <c r="C142" s="373"/>
      <c r="D142" s="373"/>
      <c r="E142" s="505" t="s">
        <v>4604</v>
      </c>
      <c r="F142" s="949" t="s">
        <v>4605</v>
      </c>
      <c r="G142" s="949"/>
      <c r="H142" s="950"/>
      <c r="I142" s="564" t="str">
        <f>HYPERLINK("#"&amp;ADDRESS(ROW(H140),COLUMN(H140),4),"◀"&amp;ADDRESS(ROW(H140),COLUMN(H140),4))</f>
        <v>◀H140</v>
      </c>
      <c r="J142" s="577" t="str">
        <f>H140</f>
        <v/>
      </c>
      <c r="K142" s="442" t="str">
        <f ca="1">_xlfn.FORMULATEXT(H140)</f>
        <v>=SI(E144=0;0;SI(F140*E140=E150;"";MOD(E150;E144)))</v>
      </c>
      <c r="L142" s="338"/>
      <c r="M142" s="338"/>
      <c r="N142" s="338"/>
      <c r="O142" s="338"/>
      <c r="P142" s="338"/>
      <c r="Q142" s="338"/>
      <c r="R142" s="338"/>
      <c r="S142" s="338"/>
      <c r="T142" s="338"/>
      <c r="U142" s="338"/>
      <c r="V142" s="338"/>
      <c r="W142" s="338"/>
      <c r="X142" s="338"/>
      <c r="Y142" s="338"/>
      <c r="Z142" s="338"/>
      <c r="AA142" s="338"/>
      <c r="AB142" s="338"/>
      <c r="AC142" s="338"/>
      <c r="AD142" s="338"/>
      <c r="AE142" s="338"/>
      <c r="AF142" s="338"/>
      <c r="AG142" s="338"/>
      <c r="AH142" s="338"/>
      <c r="AI142" s="338"/>
      <c r="AJ142" s="338"/>
      <c r="AK142" s="338"/>
      <c r="AL142" s="338"/>
      <c r="AM142" s="338"/>
      <c r="AN142" s="338"/>
      <c r="AO142" s="338"/>
      <c r="AP142" s="338"/>
      <c r="AQ142" s="338"/>
      <c r="AR142" s="338"/>
      <c r="AS142" s="338"/>
      <c r="AT142" s="338"/>
      <c r="AU142" s="338"/>
      <c r="AV142" s="338"/>
      <c r="AW142" s="338"/>
      <c r="AX142" s="338"/>
      <c r="AY142" s="338"/>
      <c r="AZ142" s="338"/>
      <c r="BA142" s="338"/>
      <c r="BB142" s="338"/>
      <c r="BC142" s="338"/>
      <c r="BD142" s="341">
        <v>1</v>
      </c>
    </row>
    <row r="143" spans="1:56" ht="21" customHeight="1" x14ac:dyDescent="0.25">
      <c r="A143" s="338"/>
      <c r="B143" s="954"/>
      <c r="C143" s="373"/>
      <c r="D143" s="507"/>
      <c r="E143" s="508"/>
      <c r="F143" s="509" t="s">
        <v>4606</v>
      </c>
      <c r="G143" s="507"/>
      <c r="H143" s="503"/>
      <c r="I143" s="564"/>
      <c r="J143" s="578"/>
      <c r="K143" s="373"/>
      <c r="L143" s="338"/>
      <c r="M143" s="338"/>
      <c r="N143" s="338"/>
      <c r="O143" s="338"/>
      <c r="P143" s="338"/>
      <c r="Q143" s="338"/>
      <c r="R143" s="338"/>
      <c r="S143" s="338"/>
      <c r="T143" s="338"/>
      <c r="U143" s="338"/>
      <c r="V143" s="338"/>
      <c r="W143" s="338"/>
      <c r="X143" s="338"/>
      <c r="Y143" s="338"/>
      <c r="Z143" s="338"/>
      <c r="AA143" s="338"/>
      <c r="AB143" s="338"/>
      <c r="AC143" s="338"/>
      <c r="AD143" s="338"/>
      <c r="AE143" s="338"/>
      <c r="AF143" s="338"/>
      <c r="AG143" s="338"/>
      <c r="AH143" s="338"/>
      <c r="AI143" s="338"/>
      <c r="AJ143" s="338"/>
      <c r="AK143" s="338"/>
      <c r="AL143" s="338"/>
      <c r="AM143" s="338"/>
      <c r="AN143" s="338"/>
      <c r="AO143" s="338"/>
      <c r="AP143" s="338"/>
      <c r="AQ143" s="338"/>
      <c r="AR143" s="338"/>
      <c r="AS143" s="338"/>
      <c r="AT143" s="338"/>
      <c r="AU143" s="338"/>
      <c r="AV143" s="338"/>
      <c r="AW143" s="338"/>
      <c r="AX143" s="338"/>
      <c r="AY143" s="338"/>
      <c r="AZ143" s="338"/>
      <c r="BA143" s="338"/>
      <c r="BB143" s="338"/>
      <c r="BC143" s="338"/>
      <c r="BD143" s="341">
        <v>1</v>
      </c>
    </row>
    <row r="144" spans="1:56" ht="21" customHeight="1" x14ac:dyDescent="0.25">
      <c r="A144" s="338"/>
      <c r="B144" s="954"/>
      <c r="C144" s="511"/>
      <c r="D144" s="512" t="s">
        <v>4607</v>
      </c>
      <c r="E144" s="579">
        <v>1</v>
      </c>
      <c r="F144" s="548" t="s">
        <v>4597</v>
      </c>
      <c r="G144" s="515">
        <f>IF(F144=D160,E144*F145,IF(F144=D161,E144/F145))</f>
        <v>0.5</v>
      </c>
      <c r="H144" s="516" t="str">
        <f>H147</f>
        <v>❹ Kg cru</v>
      </c>
      <c r="I144" s="580" t="str">
        <f>HYPERLINK("#"&amp;ADDRESS(ROW(G146),COLUMN(G146),4),"◀"&amp;ADDRESS(ROW(G146),COLUMN(G146),4))</f>
        <v>◀G146</v>
      </c>
      <c r="J144" s="478">
        <f>G144</f>
        <v>0.5</v>
      </c>
      <c r="K144" s="442" t="str">
        <f ca="1">_xlfn.FORMULATEXT(G144)</f>
        <v>=SI(F144=D160;E144*F145;SI(F144=D161;E144/F145))</v>
      </c>
      <c r="L144" s="338"/>
      <c r="M144" s="338"/>
      <c r="N144" s="338"/>
      <c r="O144" s="338"/>
      <c r="P144" s="338"/>
      <c r="Q144" s="338"/>
      <c r="R144" s="338"/>
      <c r="S144" s="338"/>
      <c r="T144" s="338"/>
      <c r="U144" s="338"/>
      <c r="V144" s="338"/>
      <c r="W144" s="338"/>
      <c r="X144" s="338"/>
      <c r="Y144" s="338"/>
      <c r="Z144" s="338"/>
      <c r="AA144" s="338"/>
      <c r="AB144" s="338"/>
      <c r="AC144" s="338"/>
      <c r="AD144" s="338"/>
      <c r="AE144" s="338"/>
      <c r="AF144" s="338"/>
      <c r="AG144" s="338"/>
      <c r="AH144" s="338"/>
      <c r="AI144" s="338"/>
      <c r="AJ144" s="338"/>
      <c r="AK144" s="338"/>
      <c r="AL144" s="338"/>
      <c r="AM144" s="338"/>
      <c r="AN144" s="338"/>
      <c r="AO144" s="338"/>
      <c r="AP144" s="338"/>
      <c r="AQ144" s="338"/>
      <c r="AR144" s="338"/>
      <c r="AS144" s="338"/>
      <c r="AT144" s="338"/>
      <c r="AU144" s="338"/>
      <c r="AV144" s="338"/>
      <c r="AW144" s="338"/>
      <c r="AX144" s="338"/>
      <c r="AY144" s="338"/>
      <c r="AZ144" s="338"/>
      <c r="BA144" s="338"/>
      <c r="BB144" s="338"/>
      <c r="BC144" s="338"/>
      <c r="BD144" s="341">
        <v>1</v>
      </c>
    </row>
    <row r="145" spans="1:56" ht="21" customHeight="1" x14ac:dyDescent="0.25">
      <c r="A145" s="338"/>
      <c r="B145" s="954"/>
      <c r="C145" s="373"/>
      <c r="D145" s="418"/>
      <c r="E145" s="581" t="s">
        <v>4621</v>
      </c>
      <c r="F145" s="582">
        <v>2</v>
      </c>
      <c r="G145" s="583" t="str">
        <f>IF(F144=D160,"cru X par","cuit / par")</f>
        <v>cuit / par</v>
      </c>
      <c r="H145" s="584">
        <f>F145</f>
        <v>2</v>
      </c>
      <c r="I145" s="564" t="str">
        <f>HYPERLINK("#"&amp;ADDRESS(ROW(G145),COLUMN(G145),4),"◀"&amp;ADDRESS(ROW(G145),COLUMN(G145),4))</f>
        <v>◀G145</v>
      </c>
      <c r="J145" s="585" t="str">
        <f>G145</f>
        <v>cuit / par</v>
      </c>
      <c r="K145" s="442" t="str">
        <f ca="1">_xlfn.FORMULATEXT(G145)</f>
        <v>=SI(F144=D160;"cru X par";"cuit / par")</v>
      </c>
      <c r="L145" s="338"/>
      <c r="M145" s="338"/>
      <c r="N145" s="338"/>
      <c r="O145" s="338"/>
      <c r="P145" s="338"/>
      <c r="Q145" s="338"/>
      <c r="R145" s="338"/>
      <c r="S145" s="338"/>
      <c r="T145" s="338"/>
      <c r="U145" s="338"/>
      <c r="V145" s="338"/>
      <c r="W145" s="338"/>
      <c r="X145" s="338"/>
      <c r="Y145" s="338"/>
      <c r="Z145" s="338"/>
      <c r="AA145" s="338"/>
      <c r="AB145" s="338"/>
      <c r="AC145" s="338"/>
      <c r="AD145" s="338"/>
      <c r="AE145" s="338"/>
      <c r="AF145" s="338"/>
      <c r="AG145" s="338"/>
      <c r="AH145" s="338"/>
      <c r="AI145" s="338"/>
      <c r="AJ145" s="338"/>
      <c r="AK145" s="338"/>
      <c r="AL145" s="338"/>
      <c r="AM145" s="338"/>
      <c r="AN145" s="338"/>
      <c r="AO145" s="338"/>
      <c r="AP145" s="338"/>
      <c r="AQ145" s="338"/>
      <c r="AR145" s="338"/>
      <c r="AS145" s="338"/>
      <c r="AT145" s="338"/>
      <c r="AU145" s="338"/>
      <c r="AV145" s="338"/>
      <c r="AW145" s="338"/>
      <c r="AX145" s="338"/>
      <c r="AY145" s="338"/>
      <c r="AZ145" s="338"/>
      <c r="BA145" s="338"/>
      <c r="BB145" s="338"/>
      <c r="BC145" s="338"/>
      <c r="BD145" s="341">
        <v>1</v>
      </c>
    </row>
    <row r="146" spans="1:56" ht="21" customHeight="1" x14ac:dyDescent="0.25">
      <c r="A146" s="338"/>
      <c r="B146" s="954"/>
      <c r="C146" s="373"/>
      <c r="D146" s="373"/>
      <c r="E146" s="373"/>
      <c r="F146" s="373"/>
      <c r="G146" s="373"/>
      <c r="H146" s="503"/>
      <c r="I146" s="564"/>
      <c r="J146" s="578"/>
      <c r="K146" s="373"/>
      <c r="L146" s="338"/>
      <c r="M146" s="338"/>
      <c r="N146" s="338"/>
      <c r="O146" s="338"/>
      <c r="P146" s="338"/>
      <c r="Q146" s="338"/>
      <c r="R146" s="338"/>
      <c r="S146" s="338"/>
      <c r="T146" s="338"/>
      <c r="U146" s="338"/>
      <c r="V146" s="338"/>
      <c r="W146" s="338"/>
      <c r="X146" s="338"/>
      <c r="Y146" s="338"/>
      <c r="Z146" s="338"/>
      <c r="AA146" s="338"/>
      <c r="AB146" s="338"/>
      <c r="AC146" s="338"/>
      <c r="AD146" s="338"/>
      <c r="AE146" s="338"/>
      <c r="AF146" s="338"/>
      <c r="AG146" s="338"/>
      <c r="AH146" s="338"/>
      <c r="AI146" s="338"/>
      <c r="AJ146" s="338"/>
      <c r="AK146" s="338"/>
      <c r="AL146" s="338"/>
      <c r="AM146" s="338"/>
      <c r="AN146" s="338"/>
      <c r="AO146" s="338"/>
      <c r="AP146" s="338"/>
      <c r="AQ146" s="338"/>
      <c r="AR146" s="338"/>
      <c r="AS146" s="338"/>
      <c r="AT146" s="338"/>
      <c r="AU146" s="338"/>
      <c r="AV146" s="338"/>
      <c r="AW146" s="338"/>
      <c r="AX146" s="338"/>
      <c r="AY146" s="338"/>
      <c r="AZ146" s="338"/>
      <c r="BA146" s="338"/>
      <c r="BB146" s="338"/>
      <c r="BC146" s="338"/>
      <c r="BD146" s="341">
        <v>1</v>
      </c>
    </row>
    <row r="147" spans="1:56" ht="21" customHeight="1" x14ac:dyDescent="0.25">
      <c r="A147" s="338"/>
      <c r="B147" s="954"/>
      <c r="C147" s="373"/>
      <c r="D147" s="520" t="s">
        <v>4608</v>
      </c>
      <c r="E147" s="586">
        <v>0.05</v>
      </c>
      <c r="F147" s="522" t="str">
        <f>F144</f>
        <v>❺ Kg cuit</v>
      </c>
      <c r="G147" s="515">
        <f>IF(F144=D160,E147*F145,IF(F144=D161,E147/F145))</f>
        <v>2.5000000000000001E-2</v>
      </c>
      <c r="H147" s="523" t="str">
        <f>IF(F147=D160,D161,D160)</f>
        <v>❹ Kg cru</v>
      </c>
      <c r="I147" s="564" t="str">
        <f>HYPERLINK("#"&amp;ADDRESS(ROW(G147),COLUMN(G147),4),"◀"&amp;ADDRESS(ROW(G147),COLUMN(G147),4))</f>
        <v>◀G147</v>
      </c>
      <c r="J147" s="478">
        <f>G147</f>
        <v>2.5000000000000001E-2</v>
      </c>
      <c r="K147" s="587" t="str">
        <f ca="1">_xlfn.FORMULATEXT(G147)</f>
        <v>=SI(F144=D160;E147*F145;SI(F144=D161;E147/F145))</v>
      </c>
      <c r="L147" s="338"/>
      <c r="M147" s="338"/>
      <c r="N147" s="338"/>
      <c r="O147" s="338"/>
      <c r="P147" s="338"/>
      <c r="Q147" s="338"/>
      <c r="R147" s="338"/>
      <c r="S147" s="338"/>
      <c r="T147" s="338"/>
      <c r="U147" s="338"/>
      <c r="V147" s="338"/>
      <c r="W147" s="338"/>
      <c r="X147" s="338"/>
      <c r="Y147" s="338"/>
      <c r="Z147" s="338"/>
      <c r="AA147" s="338"/>
      <c r="AB147" s="338"/>
      <c r="AC147" s="338"/>
      <c r="AD147" s="338"/>
      <c r="AE147" s="338"/>
      <c r="AF147" s="338"/>
      <c r="AG147" s="338"/>
      <c r="AH147" s="338"/>
      <c r="AI147" s="338"/>
      <c r="AJ147" s="338"/>
      <c r="AK147" s="338"/>
      <c r="AL147" s="338"/>
      <c r="AM147" s="338"/>
      <c r="AN147" s="338"/>
      <c r="AO147" s="338"/>
      <c r="AP147" s="338"/>
      <c r="AQ147" s="338"/>
      <c r="AR147" s="338"/>
      <c r="AS147" s="338"/>
      <c r="AT147" s="338"/>
      <c r="AU147" s="338"/>
      <c r="AV147" s="338"/>
      <c r="AW147" s="338"/>
      <c r="AX147" s="338"/>
      <c r="AY147" s="338"/>
      <c r="AZ147" s="338"/>
      <c r="BA147" s="338"/>
      <c r="BB147" s="338"/>
      <c r="BC147" s="338"/>
      <c r="BD147" s="341">
        <v>1</v>
      </c>
    </row>
    <row r="148" spans="1:56" ht="21" customHeight="1" x14ac:dyDescent="0.25">
      <c r="A148" s="338"/>
      <c r="B148" s="954"/>
      <c r="C148" s="373"/>
      <c r="D148" s="524" t="s">
        <v>4609</v>
      </c>
      <c r="E148" s="588">
        <v>100</v>
      </c>
      <c r="F148" s="589" t="s">
        <v>4610</v>
      </c>
      <c r="G148" s="373"/>
      <c r="H148" s="527"/>
      <c r="I148" s="564" t="str">
        <f>HYPERLINK("#"&amp;ADDRESS(ROW(H147),COLUMN(H147),4),"◀"&amp;ADDRESS(ROW(H147),COLUMN(H147),4))</f>
        <v>◀H147</v>
      </c>
      <c r="J148" s="590" t="str">
        <f>H147</f>
        <v>❹ Kg cru</v>
      </c>
      <c r="K148" s="442" t="str">
        <f ca="1">_xlfn.FORMULATEXT(H147)</f>
        <v>=SI(F147=D160;D161;D160)</v>
      </c>
      <c r="L148" s="338"/>
      <c r="M148" s="338"/>
      <c r="N148" s="338"/>
      <c r="O148" s="338"/>
      <c r="P148" s="338"/>
      <c r="Q148" s="338"/>
      <c r="R148" s="338"/>
      <c r="S148" s="338"/>
      <c r="T148" s="338"/>
      <c r="U148" s="338"/>
      <c r="V148" s="338"/>
      <c r="W148" s="338"/>
      <c r="X148" s="338"/>
      <c r="Y148" s="338"/>
      <c r="Z148" s="338"/>
      <c r="AA148" s="338"/>
      <c r="AB148" s="338"/>
      <c r="AC148" s="338"/>
      <c r="AD148" s="338"/>
      <c r="AE148" s="338"/>
      <c r="AF148" s="338"/>
      <c r="AG148" s="338"/>
      <c r="AH148" s="338"/>
      <c r="AI148" s="338"/>
      <c r="AJ148" s="338"/>
      <c r="AK148" s="338"/>
      <c r="AL148" s="338"/>
      <c r="AM148" s="338"/>
      <c r="AN148" s="338"/>
      <c r="AO148" s="338"/>
      <c r="AP148" s="338"/>
      <c r="AQ148" s="338"/>
      <c r="AR148" s="338"/>
      <c r="AS148" s="338"/>
      <c r="AT148" s="338"/>
      <c r="AU148" s="338"/>
      <c r="AV148" s="338"/>
      <c r="AW148" s="338"/>
      <c r="AX148" s="338"/>
      <c r="AY148" s="338"/>
      <c r="AZ148" s="338"/>
      <c r="BA148" s="338"/>
      <c r="BB148" s="338"/>
      <c r="BC148" s="338"/>
      <c r="BD148" s="341">
        <v>1</v>
      </c>
    </row>
    <row r="149" spans="1:56" ht="21" customHeight="1" x14ac:dyDescent="0.25">
      <c r="A149" s="338"/>
      <c r="B149" s="954"/>
      <c r="C149" s="373"/>
      <c r="D149" s="373"/>
      <c r="E149" s="373"/>
      <c r="F149" s="373"/>
      <c r="G149" s="373"/>
      <c r="H149" s="503"/>
      <c r="I149" s="564"/>
      <c r="J149" s="578"/>
      <c r="K149" s="373"/>
      <c r="L149" s="338"/>
      <c r="M149" s="338"/>
      <c r="N149" s="338"/>
      <c r="O149" s="338"/>
      <c r="P149" s="338"/>
      <c r="Q149" s="338"/>
      <c r="R149" s="338"/>
      <c r="S149" s="338"/>
      <c r="T149" s="338"/>
      <c r="U149" s="338"/>
      <c r="V149" s="338"/>
      <c r="W149" s="338"/>
      <c r="X149" s="338"/>
      <c r="Y149" s="338"/>
      <c r="Z149" s="338"/>
      <c r="AA149" s="338"/>
      <c r="AB149" s="338"/>
      <c r="AC149" s="338"/>
      <c r="AD149" s="338"/>
      <c r="AE149" s="338"/>
      <c r="AF149" s="338"/>
      <c r="AG149" s="338"/>
      <c r="AH149" s="338"/>
      <c r="AI149" s="338"/>
      <c r="AJ149" s="338"/>
      <c r="AK149" s="338"/>
      <c r="AL149" s="338"/>
      <c r="AM149" s="338"/>
      <c r="AN149" s="338"/>
      <c r="AO149" s="338"/>
      <c r="AP149" s="338"/>
      <c r="AQ149" s="338"/>
      <c r="AR149" s="338"/>
      <c r="AS149" s="338"/>
      <c r="AT149" s="338"/>
      <c r="AU149" s="338"/>
      <c r="AV149" s="338"/>
      <c r="AW149" s="338"/>
      <c r="AX149" s="338"/>
      <c r="AY149" s="338"/>
      <c r="AZ149" s="338"/>
      <c r="BA149" s="338"/>
      <c r="BB149" s="338"/>
      <c r="BC149" s="338"/>
      <c r="BD149" s="341">
        <v>1</v>
      </c>
    </row>
    <row r="150" spans="1:56" ht="21" customHeight="1" x14ac:dyDescent="0.25">
      <c r="A150" s="338"/>
      <c r="B150" s="954"/>
      <c r="C150" s="373"/>
      <c r="D150" s="528" t="s">
        <v>4611</v>
      </c>
      <c r="E150" s="529">
        <f>IF(E144=0,0,E147*E148)</f>
        <v>5</v>
      </c>
      <c r="F150" s="530" t="str">
        <f>F144</f>
        <v>❺ Kg cuit</v>
      </c>
      <c r="G150" s="531">
        <f>IF(E144=0,0,G147*E148)</f>
        <v>2.5</v>
      </c>
      <c r="H150" s="532" t="str">
        <f>H147</f>
        <v>❹ Kg cru</v>
      </c>
      <c r="I150" s="564" t="str">
        <f>HYPERLINK("#"&amp;ADDRESS(ROW(E150),COLUMN(E150),4),"◀"&amp;ADDRESS(ROW(E150),COLUMN(E150),4))</f>
        <v>◀E150</v>
      </c>
      <c r="J150" s="529">
        <f>E150</f>
        <v>5</v>
      </c>
      <c r="K150" s="442" t="str">
        <f ca="1">_xlfn.FORMULATEXT(E150)</f>
        <v>=SI(E144=0;0;E147*E148)</v>
      </c>
      <c r="L150" s="338"/>
      <c r="M150" s="591" t="str">
        <f>ADDRESS(ROW(G150),COLUMN(G150),4)</f>
        <v>G150</v>
      </c>
      <c r="N150" s="442" t="str">
        <f ca="1">_xlfn.FORMULATEXT(G150)</f>
        <v>=SI(E144=0;0;G147*E148)</v>
      </c>
      <c r="O150" s="338"/>
      <c r="P150" s="338"/>
      <c r="Q150" s="338"/>
      <c r="R150" s="338"/>
      <c r="S150" s="338"/>
      <c r="T150" s="338"/>
      <c r="U150" s="338"/>
      <c r="V150" s="338"/>
      <c r="W150" s="338"/>
      <c r="X150" s="338"/>
      <c r="Y150" s="338"/>
      <c r="Z150" s="338"/>
      <c r="AA150" s="338"/>
      <c r="AB150" s="338"/>
      <c r="AC150" s="338"/>
      <c r="AD150" s="338"/>
      <c r="AE150" s="338"/>
      <c r="AF150" s="338"/>
      <c r="AG150" s="338"/>
      <c r="AH150" s="338"/>
      <c r="AI150" s="338"/>
      <c r="AJ150" s="338"/>
      <c r="AK150" s="338"/>
      <c r="AL150" s="338"/>
      <c r="AM150" s="338"/>
      <c r="AN150" s="338"/>
      <c r="AO150" s="338"/>
      <c r="AP150" s="338"/>
      <c r="AQ150" s="338"/>
      <c r="AR150" s="338"/>
      <c r="AS150" s="338"/>
      <c r="AT150" s="338"/>
      <c r="AU150" s="338"/>
      <c r="AV150" s="338"/>
      <c r="AW150" s="338"/>
      <c r="AX150" s="338"/>
      <c r="AY150" s="338"/>
      <c r="AZ150" s="338"/>
      <c r="BA150" s="338"/>
      <c r="BB150" s="338"/>
      <c r="BC150" s="338"/>
      <c r="BD150" s="341">
        <v>1</v>
      </c>
    </row>
    <row r="151" spans="1:56" ht="21" customHeight="1" x14ac:dyDescent="0.25">
      <c r="A151" s="338"/>
      <c r="B151" s="954"/>
      <c r="C151" s="373"/>
      <c r="D151" s="533" t="s">
        <v>4612</v>
      </c>
      <c r="E151" s="534">
        <f>IF(E144=0,0,IF(MOD(E150,E144)&gt;MOD(E150,E144)/2,INT(E150/E144)+1,INT(E150/E144)))</f>
        <v>5</v>
      </c>
      <c r="F151" s="537" t="s">
        <v>4613</v>
      </c>
      <c r="G151" s="536">
        <f>IF(ISBLANK(E147),0,E144/E147)</f>
        <v>20</v>
      </c>
      <c r="H151" s="503"/>
      <c r="I151" s="564" t="str">
        <f>HYPERLINK("#"&amp;ADDRESS(ROW(E151),COLUMN(E151),4),"◀"&amp;ADDRESS(ROW(E151),COLUMN(E151),4))</f>
        <v>◀E151</v>
      </c>
      <c r="J151" s="534">
        <f>E151</f>
        <v>5</v>
      </c>
      <c r="K151" s="442" t="str">
        <f ca="1">_xlfn.FORMULATEXT(E151)</f>
        <v>=SI(E144=0;0;SI(MOD(E150;E144)&gt;MOD(E150;E144)/2;ENT(E150/E144)+1;ENT(E150/E144)))</v>
      </c>
      <c r="L151" s="338"/>
      <c r="M151" s="338"/>
      <c r="N151" s="338"/>
      <c r="O151" s="338"/>
      <c r="P151" s="338"/>
      <c r="Q151" s="372"/>
      <c r="R151" s="372"/>
      <c r="S151" s="372"/>
      <c r="T151" s="372"/>
      <c r="U151" s="338"/>
      <c r="V151" s="338"/>
      <c r="W151" s="338"/>
      <c r="X151" s="338"/>
      <c r="Y151" s="338"/>
      <c r="Z151" s="338"/>
      <c r="AA151" s="338"/>
      <c r="AB151" s="338"/>
      <c r="AC151" s="338"/>
      <c r="AD151" s="338"/>
      <c r="AE151" s="338"/>
      <c r="AF151" s="338"/>
      <c r="AG151" s="338"/>
      <c r="AH151" s="338"/>
      <c r="AI151" s="338"/>
      <c r="AJ151" s="338"/>
      <c r="AK151" s="338"/>
      <c r="AL151" s="338"/>
      <c r="AM151" s="338"/>
      <c r="AN151" s="338"/>
      <c r="AO151" s="338"/>
      <c r="AP151" s="338"/>
      <c r="AQ151" s="338"/>
      <c r="AR151" s="338"/>
      <c r="AS151" s="338"/>
      <c r="AT151" s="338"/>
      <c r="AU151" s="338"/>
      <c r="AV151" s="338"/>
      <c r="AW151" s="338"/>
      <c r="AX151" s="338"/>
      <c r="AY151" s="338"/>
      <c r="AZ151" s="338"/>
      <c r="BA151" s="338"/>
      <c r="BB151" s="338"/>
      <c r="BC151" s="338"/>
      <c r="BD151" s="341">
        <v>1</v>
      </c>
    </row>
    <row r="152" spans="1:56" ht="21" customHeight="1" x14ac:dyDescent="0.25">
      <c r="A152" s="338"/>
      <c r="B152" s="954"/>
      <c r="C152" s="373"/>
      <c r="D152" s="533"/>
      <c r="E152" s="534"/>
      <c r="F152" s="537"/>
      <c r="G152" s="536"/>
      <c r="H152" s="503"/>
      <c r="I152" s="564" t="str">
        <f>HYPERLINK("#"&amp;ADDRESS(ROW(G151),COLUMN(G151),4),"◀"&amp;ADDRESS(ROW(G151),COLUMN(G151),4))</f>
        <v>◀G151</v>
      </c>
      <c r="J152" s="536">
        <f>G151</f>
        <v>20</v>
      </c>
      <c r="K152" s="442" t="str">
        <f ca="1">_xlfn.FORMULATEXT(G151)</f>
        <v>=SI(ESTVIDE(E147);0;E144/E147)</v>
      </c>
      <c r="L152" s="338"/>
      <c r="M152" s="338"/>
      <c r="N152" s="338"/>
      <c r="O152" s="338"/>
      <c r="P152" s="338"/>
      <c r="Q152" s="372"/>
      <c r="R152" s="372"/>
      <c r="S152" s="372"/>
      <c r="T152" s="372"/>
      <c r="U152" s="338"/>
      <c r="V152" s="338"/>
      <c r="W152" s="338"/>
      <c r="X152" s="338"/>
      <c r="Y152" s="338"/>
      <c r="Z152" s="338"/>
      <c r="AA152" s="338"/>
      <c r="AB152" s="338"/>
      <c r="AC152" s="338"/>
      <c r="AD152" s="338"/>
      <c r="AE152" s="338"/>
      <c r="AF152" s="338"/>
      <c r="AG152" s="338"/>
      <c r="AH152" s="338"/>
      <c r="AI152" s="338"/>
      <c r="AJ152" s="338"/>
      <c r="AK152" s="338"/>
      <c r="AL152" s="338"/>
      <c r="AM152" s="338"/>
      <c r="AN152" s="338"/>
      <c r="AO152" s="338"/>
      <c r="AP152" s="338"/>
      <c r="AQ152" s="338"/>
      <c r="AR152" s="338"/>
      <c r="AS152" s="338"/>
      <c r="AT152" s="338"/>
      <c r="AU152" s="338"/>
      <c r="AV152" s="338"/>
      <c r="AW152" s="338"/>
      <c r="AX152" s="338"/>
      <c r="AY152" s="338"/>
      <c r="AZ152" s="338"/>
      <c r="BA152" s="338"/>
      <c r="BB152" s="338"/>
      <c r="BC152" s="338"/>
      <c r="BD152" s="341">
        <v>1</v>
      </c>
    </row>
    <row r="153" spans="1:56" ht="21" customHeight="1" x14ac:dyDescent="0.25">
      <c r="A153" s="338"/>
      <c r="B153" s="954"/>
      <c r="C153" s="938" t="s">
        <v>4614</v>
      </c>
      <c r="D153" s="938"/>
      <c r="E153" s="938"/>
      <c r="F153" s="938"/>
      <c r="G153" s="938"/>
      <c r="H153" s="939"/>
      <c r="I153" s="338"/>
      <c r="J153" s="338"/>
      <c r="K153" s="338"/>
      <c r="L153" s="338"/>
      <c r="M153" s="338"/>
      <c r="N153" s="338"/>
      <c r="O153" s="338"/>
      <c r="P153" s="338"/>
      <c r="Q153" s="372"/>
      <c r="R153" s="372"/>
      <c r="S153" s="372"/>
      <c r="T153" s="372"/>
      <c r="U153" s="338"/>
      <c r="V153" s="338"/>
      <c r="W153" s="338"/>
      <c r="X153" s="338"/>
      <c r="Y153" s="338"/>
      <c r="Z153" s="338"/>
      <c r="AA153" s="338"/>
      <c r="AB153" s="338"/>
      <c r="AC153" s="338"/>
      <c r="AD153" s="338"/>
      <c r="AE153" s="338"/>
      <c r="AF153" s="338"/>
      <c r="AG153" s="338"/>
      <c r="AH153" s="338"/>
      <c r="AI153" s="338"/>
      <c r="AJ153" s="338"/>
      <c r="AK153" s="338"/>
      <c r="AL153" s="338"/>
      <c r="AM153" s="338"/>
      <c r="AN153" s="338"/>
      <c r="AO153" s="338"/>
      <c r="AP153" s="338"/>
      <c r="AQ153" s="338"/>
      <c r="AR153" s="338"/>
      <c r="AS153" s="338"/>
      <c r="AT153" s="338"/>
      <c r="AU153" s="338"/>
      <c r="AV153" s="338"/>
      <c r="AW153" s="338"/>
      <c r="AX153" s="338"/>
      <c r="AY153" s="338"/>
      <c r="AZ153" s="338"/>
      <c r="BA153" s="338"/>
      <c r="BB153" s="338"/>
      <c r="BC153" s="338"/>
      <c r="BD153" s="341">
        <v>1</v>
      </c>
    </row>
    <row r="154" spans="1:56" ht="21" customHeight="1" x14ac:dyDescent="0.25">
      <c r="A154" s="338"/>
      <c r="B154" s="954"/>
      <c r="C154" s="938"/>
      <c r="D154" s="938"/>
      <c r="E154" s="938"/>
      <c r="F154" s="938"/>
      <c r="G154" s="938"/>
      <c r="H154" s="939"/>
      <c r="I154" s="338"/>
      <c r="J154" s="338"/>
      <c r="K154" s="338"/>
      <c r="L154" s="338"/>
      <c r="M154" s="338"/>
      <c r="N154" s="338"/>
      <c r="O154" s="338"/>
      <c r="P154" s="338"/>
      <c r="Q154" s="372"/>
      <c r="R154" s="372"/>
      <c r="S154" s="372"/>
      <c r="T154" s="372"/>
      <c r="U154" s="338"/>
      <c r="V154" s="338"/>
      <c r="W154" s="338"/>
      <c r="X154" s="338"/>
      <c r="Y154" s="338"/>
      <c r="Z154" s="338"/>
      <c r="AA154" s="338"/>
      <c r="AB154" s="338"/>
      <c r="AC154" s="338"/>
      <c r="AD154" s="338"/>
      <c r="AE154" s="338"/>
      <c r="AF154" s="338"/>
      <c r="AG154" s="338"/>
      <c r="AH154" s="338"/>
      <c r="AI154" s="338"/>
      <c r="AJ154" s="338"/>
      <c r="AK154" s="338"/>
      <c r="AL154" s="338"/>
      <c r="AM154" s="338"/>
      <c r="AN154" s="338"/>
      <c r="AO154" s="338"/>
      <c r="AP154" s="338"/>
      <c r="AQ154" s="338"/>
      <c r="AR154" s="338"/>
      <c r="AS154" s="338"/>
      <c r="AT154" s="338"/>
      <c r="AU154" s="338"/>
      <c r="AV154" s="338"/>
      <c r="AW154" s="338"/>
      <c r="AX154" s="338"/>
      <c r="AY154" s="338"/>
      <c r="AZ154" s="338"/>
      <c r="BA154" s="338"/>
      <c r="BB154" s="338"/>
      <c r="BC154" s="338"/>
      <c r="BD154" s="341">
        <v>1</v>
      </c>
    </row>
    <row r="155" spans="1:56" ht="21" customHeight="1" x14ac:dyDescent="0.25">
      <c r="A155" s="338"/>
      <c r="B155" s="954"/>
      <c r="C155" s="538" t="s">
        <v>4615</v>
      </c>
      <c r="D155" s="539"/>
      <c r="E155" s="539"/>
      <c r="F155" s="539"/>
      <c r="G155" s="539"/>
      <c r="H155" s="540"/>
      <c r="I155" s="338"/>
      <c r="J155" s="338"/>
      <c r="K155" s="338"/>
      <c r="L155" s="338"/>
      <c r="M155" s="338"/>
      <c r="N155" s="338"/>
      <c r="O155" s="338"/>
      <c r="P155" s="338"/>
      <c r="Q155" s="372"/>
      <c r="R155" s="372"/>
      <c r="S155" s="372"/>
      <c r="T155" s="372"/>
      <c r="U155" s="338"/>
      <c r="V155" s="338"/>
      <c r="W155" s="338"/>
      <c r="X155" s="338"/>
      <c r="Y155" s="338"/>
      <c r="Z155" s="338"/>
      <c r="AA155" s="338"/>
      <c r="AB155" s="338"/>
      <c r="AC155" s="338"/>
      <c r="AD155" s="338"/>
      <c r="AE155" s="338"/>
      <c r="AF155" s="338"/>
      <c r="AG155" s="338"/>
      <c r="AH155" s="338"/>
      <c r="AI155" s="338"/>
      <c r="AJ155" s="338"/>
      <c r="AK155" s="338"/>
      <c r="AL155" s="338"/>
      <c r="AM155" s="338"/>
      <c r="AN155" s="338"/>
      <c r="AO155" s="338"/>
      <c r="AP155" s="338"/>
      <c r="AQ155" s="338"/>
      <c r="AR155" s="338"/>
      <c r="AS155" s="338"/>
      <c r="AT155" s="338"/>
      <c r="AU155" s="338"/>
      <c r="AV155" s="338"/>
      <c r="AW155" s="338"/>
      <c r="AX155" s="338"/>
      <c r="AY155" s="338"/>
      <c r="AZ155" s="338"/>
      <c r="BA155" s="338"/>
      <c r="BB155" s="338"/>
      <c r="BC155" s="338"/>
      <c r="BD155" s="341">
        <v>1</v>
      </c>
    </row>
    <row r="156" spans="1:56" ht="21" customHeight="1" x14ac:dyDescent="0.25">
      <c r="A156" s="338"/>
      <c r="B156" s="954"/>
      <c r="C156" s="958" t="s">
        <v>4616</v>
      </c>
      <c r="D156" s="958"/>
      <c r="E156" s="958"/>
      <c r="F156" s="958"/>
      <c r="G156" s="958"/>
      <c r="H156" s="959"/>
      <c r="I156" s="338"/>
      <c r="J156" s="338"/>
      <c r="K156" s="338"/>
      <c r="L156" s="338"/>
      <c r="M156" s="338"/>
      <c r="N156" s="338"/>
      <c r="O156" s="338"/>
      <c r="Q156" s="338"/>
      <c r="R156" s="338"/>
      <c r="S156" s="338"/>
      <c r="T156" s="338"/>
      <c r="U156" s="338"/>
      <c r="V156" s="338"/>
      <c r="W156" s="338"/>
      <c r="X156" s="338"/>
      <c r="Y156" s="338"/>
      <c r="Z156" s="338"/>
      <c r="AA156" s="338"/>
      <c r="AB156" s="338"/>
      <c r="AC156" s="338"/>
      <c r="AD156" s="338"/>
      <c r="AE156" s="338"/>
      <c r="AF156" s="338"/>
      <c r="AG156" s="338"/>
      <c r="AH156" s="338"/>
      <c r="AI156" s="338"/>
      <c r="AJ156" s="338"/>
      <c r="AK156" s="338"/>
      <c r="AL156" s="338"/>
      <c r="AM156" s="338"/>
      <c r="AN156" s="338"/>
      <c r="AO156" s="338"/>
      <c r="AP156" s="338"/>
      <c r="AQ156" s="338"/>
      <c r="AR156" s="338"/>
      <c r="AS156" s="338"/>
      <c r="AT156" s="338"/>
      <c r="AU156" s="338"/>
      <c r="AV156" s="338"/>
      <c r="AW156" s="338"/>
      <c r="AX156" s="338"/>
      <c r="AY156" s="338"/>
      <c r="AZ156" s="338"/>
      <c r="BA156" s="338"/>
      <c r="BB156" s="338"/>
      <c r="BC156" s="338"/>
      <c r="BD156" s="341">
        <v>1</v>
      </c>
    </row>
    <row r="157" spans="1:56" ht="21" customHeight="1" x14ac:dyDescent="0.25">
      <c r="A157" s="338"/>
      <c r="B157" s="954"/>
      <c r="C157" s="541" t="s">
        <v>4617</v>
      </c>
      <c r="D157" s="373"/>
      <c r="E157" s="373"/>
      <c r="F157" s="545" t="s">
        <v>4621</v>
      </c>
      <c r="G157" s="373"/>
      <c r="H157" s="503"/>
      <c r="I157" s="338"/>
      <c r="J157" s="338"/>
      <c r="K157" s="338"/>
      <c r="L157" s="338"/>
      <c r="M157" s="338"/>
      <c r="N157" s="338"/>
      <c r="O157" s="338"/>
      <c r="P157" s="338"/>
      <c r="Q157" s="338"/>
      <c r="R157" s="338"/>
      <c r="S157" s="338"/>
      <c r="T157" s="338"/>
      <c r="U157" s="338"/>
      <c r="V157" s="338"/>
      <c r="W157" s="338"/>
      <c r="X157" s="338"/>
      <c r="Y157" s="338"/>
      <c r="Z157" s="338"/>
      <c r="AA157" s="338"/>
      <c r="AB157" s="338"/>
      <c r="AC157" s="338"/>
      <c r="AD157" s="338"/>
      <c r="AE157" s="338"/>
      <c r="AF157" s="338"/>
      <c r="AG157" s="338"/>
      <c r="AH157" s="338"/>
      <c r="AI157" s="338"/>
      <c r="AJ157" s="338"/>
      <c r="AK157" s="338"/>
      <c r="AL157" s="338"/>
      <c r="AM157" s="338"/>
      <c r="AN157" s="338"/>
      <c r="AO157" s="338"/>
      <c r="AP157" s="338"/>
      <c r="AQ157" s="338"/>
      <c r="AR157" s="338"/>
      <c r="AS157" s="338"/>
      <c r="AT157" s="338"/>
      <c r="AU157" s="338"/>
      <c r="AV157" s="338"/>
      <c r="AW157" s="338"/>
      <c r="AX157" s="338"/>
      <c r="AY157" s="338"/>
      <c r="AZ157" s="338"/>
      <c r="BA157" s="338"/>
      <c r="BB157" s="338"/>
      <c r="BC157" s="338"/>
      <c r="BD157" s="341">
        <v>1</v>
      </c>
    </row>
    <row r="158" spans="1:56" ht="21" customHeight="1" x14ac:dyDescent="0.25">
      <c r="A158" s="338"/>
      <c r="B158" s="954"/>
      <c r="C158" s="542" t="s">
        <v>4604</v>
      </c>
      <c r="D158" s="373"/>
      <c r="E158" s="373"/>
      <c r="F158" s="546" t="s">
        <v>4622</v>
      </c>
      <c r="G158" s="373"/>
      <c r="H158" s="503"/>
      <c r="I158" s="338"/>
      <c r="J158" s="338"/>
      <c r="K158" s="338"/>
      <c r="L158" s="338"/>
      <c r="M158" s="338"/>
      <c r="N158" s="338"/>
      <c r="O158" s="338"/>
      <c r="P158" s="338"/>
      <c r="Q158" s="338"/>
      <c r="R158" s="338"/>
      <c r="S158" s="338"/>
      <c r="T158" s="338"/>
      <c r="U158" s="338"/>
      <c r="V158" s="338"/>
      <c r="W158" s="338"/>
      <c r="X158" s="338"/>
      <c r="Y158" s="338"/>
      <c r="Z158" s="338"/>
      <c r="AA158" s="338"/>
      <c r="AB158" s="338"/>
      <c r="AC158" s="338"/>
      <c r="AD158" s="338"/>
      <c r="AE158" s="338"/>
      <c r="AF158" s="338"/>
      <c r="AG158" s="338"/>
      <c r="AH158" s="338"/>
      <c r="AI158" s="338"/>
      <c r="AJ158" s="338"/>
      <c r="AK158" s="338"/>
      <c r="AL158" s="338"/>
      <c r="AM158" s="338"/>
      <c r="AN158" s="338"/>
      <c r="AO158" s="338"/>
      <c r="AP158" s="338"/>
      <c r="AQ158" s="338"/>
      <c r="AR158" s="338"/>
      <c r="AS158" s="338"/>
      <c r="AT158" s="338"/>
      <c r="AU158" s="338"/>
      <c r="AV158" s="338"/>
      <c r="AW158" s="338"/>
      <c r="AX158" s="338"/>
      <c r="AY158" s="338"/>
      <c r="AZ158" s="338"/>
      <c r="BA158" s="338"/>
      <c r="BB158" s="338"/>
      <c r="BC158" s="338"/>
      <c r="BD158" s="341">
        <v>1</v>
      </c>
    </row>
    <row r="159" spans="1:56" ht="21" customHeight="1" x14ac:dyDescent="0.25">
      <c r="A159" s="338"/>
      <c r="B159" s="954"/>
      <c r="C159" s="544" t="s">
        <v>4620</v>
      </c>
      <c r="D159" s="373"/>
      <c r="E159" s="373"/>
      <c r="F159" s="549" t="s">
        <v>4623</v>
      </c>
      <c r="G159" s="373"/>
      <c r="H159" s="503"/>
      <c r="I159" s="338"/>
      <c r="J159" s="338"/>
      <c r="K159" s="338"/>
      <c r="L159" s="338"/>
      <c r="M159" s="338"/>
      <c r="N159" s="338"/>
      <c r="O159" s="338"/>
      <c r="P159" s="338"/>
      <c r="Q159" s="338"/>
      <c r="R159" s="338"/>
      <c r="S159" s="338"/>
      <c r="T159" s="338"/>
      <c r="U159" s="338"/>
      <c r="V159" s="338"/>
      <c r="W159" s="338"/>
      <c r="X159" s="338"/>
      <c r="Y159" s="338"/>
      <c r="Z159" s="338"/>
      <c r="AA159" s="338"/>
      <c r="AB159" s="338"/>
      <c r="AC159" s="338"/>
      <c r="AD159" s="338"/>
      <c r="AE159" s="338"/>
      <c r="AF159" s="338"/>
      <c r="AG159" s="338"/>
      <c r="AH159" s="338"/>
      <c r="AI159" s="338"/>
      <c r="AJ159" s="338"/>
      <c r="AK159" s="338"/>
      <c r="AL159" s="338"/>
      <c r="AM159" s="338"/>
      <c r="AN159" s="338"/>
      <c r="AO159" s="338"/>
      <c r="AP159" s="338"/>
      <c r="AQ159" s="338"/>
      <c r="AR159" s="338"/>
      <c r="AS159" s="338"/>
      <c r="AT159" s="338"/>
      <c r="AU159" s="338"/>
      <c r="AV159" s="338"/>
      <c r="AW159" s="338"/>
      <c r="AX159" s="338"/>
      <c r="AY159" s="338"/>
      <c r="AZ159" s="338"/>
      <c r="BA159" s="338"/>
      <c r="BB159" s="338"/>
      <c r="BC159" s="338"/>
      <c r="BD159" s="341">
        <v>1</v>
      </c>
    </row>
    <row r="160" spans="1:56" ht="21" customHeight="1" x14ac:dyDescent="0.25">
      <c r="A160" s="338"/>
      <c r="B160" s="954"/>
      <c r="C160" s="477"/>
      <c r="D160" s="514" t="s">
        <v>4595</v>
      </c>
      <c r="E160" s="373"/>
      <c r="F160" s="546"/>
      <c r="G160" s="373"/>
      <c r="H160" s="503"/>
      <c r="I160" s="338"/>
      <c r="J160" s="338"/>
      <c r="K160" s="338"/>
      <c r="L160" s="338"/>
      <c r="M160" s="338"/>
      <c r="N160" s="338"/>
      <c r="O160" s="338"/>
      <c r="P160" s="338"/>
      <c r="Q160" s="338"/>
      <c r="R160" s="338"/>
      <c r="S160" s="338"/>
      <c r="T160" s="338"/>
      <c r="U160" s="338"/>
      <c r="V160" s="338"/>
      <c r="W160" s="338"/>
      <c r="X160" s="338"/>
      <c r="Y160" s="338"/>
      <c r="Z160" s="338"/>
      <c r="AA160" s="338"/>
      <c r="AB160" s="338"/>
      <c r="AC160" s="338"/>
      <c r="AD160" s="338"/>
      <c r="AE160" s="338"/>
      <c r="AF160" s="338"/>
      <c r="AG160" s="338"/>
      <c r="AH160" s="338"/>
      <c r="AI160" s="338"/>
      <c r="AJ160" s="338"/>
      <c r="AK160" s="338"/>
      <c r="AL160" s="338"/>
      <c r="AM160" s="338"/>
      <c r="AN160" s="338"/>
      <c r="AO160" s="338"/>
      <c r="AP160" s="338"/>
      <c r="AQ160" s="338"/>
      <c r="AR160" s="338"/>
      <c r="AS160" s="338"/>
      <c r="AT160" s="338"/>
      <c r="AU160" s="338"/>
      <c r="AV160" s="338"/>
      <c r="AW160" s="338"/>
      <c r="AX160" s="338"/>
      <c r="AY160" s="338"/>
      <c r="AZ160" s="338"/>
      <c r="BA160" s="338"/>
      <c r="BB160" s="338"/>
      <c r="BC160" s="338"/>
      <c r="BD160" s="341">
        <v>1</v>
      </c>
    </row>
    <row r="161" spans="1:56" ht="21" customHeight="1" x14ac:dyDescent="0.25">
      <c r="A161" s="338"/>
      <c r="B161" s="954"/>
      <c r="C161" s="479"/>
      <c r="D161" s="548" t="s">
        <v>4597</v>
      </c>
      <c r="E161" s="373"/>
      <c r="F161" s="549"/>
      <c r="G161" s="373"/>
      <c r="H161" s="503"/>
      <c r="I161" s="338"/>
      <c r="J161" s="338"/>
      <c r="K161" s="338"/>
      <c r="L161" s="338"/>
      <c r="M161" s="338"/>
      <c r="N161" s="338"/>
      <c r="O161" s="338"/>
      <c r="P161" s="338"/>
      <c r="Q161" s="338"/>
      <c r="R161" s="338"/>
      <c r="S161" s="338"/>
      <c r="T161" s="338"/>
      <c r="U161" s="338"/>
      <c r="V161" s="338"/>
      <c r="W161" s="338"/>
      <c r="X161" s="338"/>
      <c r="Y161" s="338"/>
      <c r="Z161" s="338"/>
      <c r="AA161" s="338"/>
      <c r="AB161" s="338"/>
      <c r="AC161" s="338"/>
      <c r="AD161" s="338"/>
      <c r="AE161" s="338"/>
      <c r="AF161" s="338"/>
      <c r="AG161" s="338"/>
      <c r="AH161" s="338"/>
      <c r="AI161" s="338"/>
      <c r="AJ161" s="338"/>
      <c r="AK161" s="338"/>
      <c r="AL161" s="338"/>
      <c r="AM161" s="338"/>
      <c r="AN161" s="338"/>
      <c r="AO161" s="338"/>
      <c r="AP161" s="338"/>
      <c r="AQ161" s="338"/>
      <c r="AR161" s="338"/>
      <c r="AS161" s="338"/>
      <c r="AT161" s="338"/>
      <c r="AU161" s="338"/>
      <c r="AV161" s="338"/>
      <c r="AW161" s="338"/>
      <c r="AX161" s="338"/>
      <c r="AY161" s="338"/>
      <c r="AZ161" s="338"/>
      <c r="BA161" s="338"/>
      <c r="BB161" s="338"/>
      <c r="BC161" s="338"/>
      <c r="BD161" s="341">
        <v>1</v>
      </c>
    </row>
    <row r="162" spans="1:56" ht="21" customHeight="1" x14ac:dyDescent="0.25">
      <c r="A162" s="338"/>
      <c r="B162" s="954"/>
      <c r="C162" s="550"/>
      <c r="D162" s="373"/>
      <c r="E162" s="551" t="s">
        <v>4624</v>
      </c>
      <c r="F162" s="549"/>
      <c r="G162" s="550" t="s">
        <v>4625</v>
      </c>
      <c r="H162" s="552" t="str">
        <f>ADDRESS(ROW(F144),COLUMN(F144),4)</f>
        <v>F144</v>
      </c>
      <c r="I162" s="338"/>
      <c r="J162" s="338"/>
      <c r="K162" s="338"/>
      <c r="L162" s="338"/>
      <c r="M162" s="338"/>
      <c r="N162" s="338"/>
      <c r="O162" s="338"/>
      <c r="P162" s="338"/>
      <c r="Q162" s="338"/>
      <c r="R162" s="338"/>
      <c r="S162" s="338"/>
      <c r="T162" s="338"/>
      <c r="U162" s="338"/>
      <c r="V162" s="338"/>
      <c r="W162" s="338"/>
      <c r="X162" s="338"/>
      <c r="Y162" s="338"/>
      <c r="Z162" s="338"/>
      <c r="AA162" s="338"/>
      <c r="AB162" s="338"/>
      <c r="AC162" s="338"/>
      <c r="AD162" s="338"/>
      <c r="AE162" s="338"/>
      <c r="AF162" s="338"/>
      <c r="AG162" s="338"/>
      <c r="AH162" s="338"/>
      <c r="AI162" s="338"/>
      <c r="AJ162" s="338"/>
      <c r="AK162" s="338"/>
      <c r="AL162" s="338"/>
      <c r="AM162" s="338"/>
      <c r="AN162" s="338"/>
      <c r="AO162" s="338"/>
      <c r="AP162" s="338"/>
      <c r="AQ162" s="338"/>
      <c r="AR162" s="338"/>
      <c r="AS162" s="338"/>
      <c r="AT162" s="338"/>
      <c r="AU162" s="338"/>
      <c r="AV162" s="338"/>
      <c r="AW162" s="338"/>
      <c r="AX162" s="338"/>
      <c r="AY162" s="338"/>
      <c r="AZ162" s="338"/>
      <c r="BA162" s="338"/>
      <c r="BB162" s="338"/>
      <c r="BC162" s="338"/>
      <c r="BD162" s="341">
        <v>1</v>
      </c>
    </row>
    <row r="163" spans="1:56" ht="21" customHeight="1" x14ac:dyDescent="0.25">
      <c r="A163" s="338"/>
      <c r="B163" s="954"/>
      <c r="C163" s="406" t="s">
        <v>4634</v>
      </c>
      <c r="D163" s="553"/>
      <c r="E163" s="551"/>
      <c r="F163" s="406" t="s">
        <v>4635</v>
      </c>
      <c r="G163" s="373"/>
      <c r="H163" s="503"/>
      <c r="I163" s="338"/>
      <c r="J163" s="338"/>
      <c r="K163" s="338"/>
      <c r="L163" s="338"/>
      <c r="M163" s="338"/>
      <c r="N163" s="338"/>
      <c r="O163" s="338"/>
      <c r="P163" s="338"/>
      <c r="Q163" s="338"/>
      <c r="R163" s="338"/>
      <c r="S163" s="338"/>
      <c r="T163" s="338"/>
      <c r="U163" s="338"/>
      <c r="V163" s="338"/>
      <c r="W163" s="338"/>
      <c r="X163" s="338"/>
      <c r="Y163" s="338"/>
      <c r="Z163" s="338"/>
      <c r="AA163" s="338"/>
      <c r="AB163" s="338"/>
      <c r="AC163" s="338"/>
      <c r="AD163" s="338"/>
      <c r="AE163" s="338"/>
      <c r="AF163" s="338"/>
      <c r="AG163" s="338"/>
      <c r="AH163" s="338"/>
      <c r="AI163" s="338"/>
      <c r="AJ163" s="338"/>
      <c r="AK163" s="338"/>
      <c r="AL163" s="338"/>
      <c r="AM163" s="338"/>
      <c r="AN163" s="338"/>
      <c r="AO163" s="338"/>
      <c r="AP163" s="338"/>
      <c r="AQ163" s="338"/>
      <c r="AR163" s="338"/>
      <c r="AS163" s="338"/>
      <c r="AT163" s="338"/>
      <c r="AU163" s="338"/>
      <c r="AV163" s="338"/>
      <c r="AW163" s="338"/>
      <c r="AX163" s="338"/>
      <c r="AY163" s="338"/>
      <c r="AZ163" s="338"/>
      <c r="BA163" s="338"/>
      <c r="BB163" s="338"/>
      <c r="BC163" s="338"/>
      <c r="BD163" s="341">
        <v>1</v>
      </c>
    </row>
    <row r="164" spans="1:56" ht="21" customHeight="1" x14ac:dyDescent="0.25">
      <c r="A164" s="338"/>
      <c r="B164" s="954"/>
      <c r="C164" s="409">
        <v>13</v>
      </c>
      <c r="D164" s="409">
        <v>21</v>
      </c>
      <c r="E164" s="409">
        <v>13</v>
      </c>
      <c r="F164" s="409">
        <v>13</v>
      </c>
      <c r="G164" s="409">
        <v>13</v>
      </c>
      <c r="H164" s="410">
        <v>13</v>
      </c>
      <c r="I164" s="411" t="s">
        <v>4529</v>
      </c>
      <c r="J164" s="338"/>
      <c r="K164" s="338"/>
      <c r="L164" s="338"/>
      <c r="M164" s="338"/>
      <c r="N164" s="338"/>
      <c r="O164" s="338"/>
      <c r="P164" s="338"/>
      <c r="Q164" s="338"/>
      <c r="R164" s="338"/>
      <c r="S164" s="338"/>
      <c r="T164" s="338"/>
      <c r="U164" s="338"/>
      <c r="V164" s="338"/>
      <c r="W164" s="338"/>
      <c r="X164" s="338"/>
      <c r="Y164" s="338"/>
      <c r="Z164" s="338"/>
      <c r="AA164" s="338"/>
      <c r="AB164" s="338"/>
      <c r="AC164" s="338"/>
      <c r="AD164" s="338"/>
      <c r="AE164" s="338"/>
      <c r="AF164" s="338"/>
      <c r="AG164" s="338"/>
      <c r="AH164" s="338"/>
      <c r="AI164" s="338"/>
      <c r="AJ164" s="338"/>
      <c r="AK164" s="338"/>
      <c r="AL164" s="338"/>
      <c r="AM164" s="338"/>
      <c r="AN164" s="338"/>
      <c r="AO164" s="338"/>
      <c r="AP164" s="338"/>
      <c r="AQ164" s="338"/>
      <c r="AR164" s="338"/>
      <c r="AS164" s="338"/>
      <c r="AT164" s="338"/>
      <c r="AU164" s="338"/>
      <c r="AV164" s="338"/>
      <c r="AW164" s="338"/>
      <c r="AX164" s="338"/>
      <c r="AY164" s="338"/>
      <c r="AZ164" s="338"/>
      <c r="BA164" s="338"/>
      <c r="BB164" s="338"/>
      <c r="BC164" s="338"/>
      <c r="BD164" s="341">
        <v>1</v>
      </c>
    </row>
    <row r="165" spans="1:56" ht="21" customHeight="1" thickBot="1" x14ac:dyDescent="0.3">
      <c r="A165" s="338"/>
      <c r="B165" s="955"/>
      <c r="C165" s="416">
        <f t="shared" ref="C165:H165" ca="1" si="9">INDEX(CELL("largeur",C165),1,1)</f>
        <v>13</v>
      </c>
      <c r="D165" s="416">
        <f t="shared" ca="1" si="9"/>
        <v>21</v>
      </c>
      <c r="E165" s="416">
        <f t="shared" ca="1" si="9"/>
        <v>13</v>
      </c>
      <c r="F165" s="416">
        <f t="shared" ca="1" si="9"/>
        <v>13</v>
      </c>
      <c r="G165" s="416">
        <f t="shared" ca="1" si="9"/>
        <v>13</v>
      </c>
      <c r="H165" s="417">
        <f t="shared" ca="1" si="9"/>
        <v>13</v>
      </c>
      <c r="I165" s="411" t="s">
        <v>4532</v>
      </c>
      <c r="J165" s="338"/>
      <c r="K165" s="338"/>
      <c r="L165" s="338"/>
      <c r="M165" s="338"/>
      <c r="N165" s="338"/>
      <c r="O165" s="338"/>
      <c r="P165" s="338"/>
      <c r="Q165" s="338"/>
      <c r="R165" s="338"/>
      <c r="S165" s="338"/>
      <c r="T165" s="338"/>
      <c r="U165" s="338"/>
      <c r="V165" s="338"/>
      <c r="W165" s="338"/>
      <c r="X165" s="338"/>
      <c r="Y165" s="338"/>
      <c r="Z165" s="338"/>
      <c r="AA165" s="338"/>
      <c r="AB165" s="338"/>
      <c r="AC165" s="338"/>
      <c r="AD165" s="338"/>
      <c r="AE165" s="338"/>
      <c r="AF165" s="338"/>
      <c r="AG165" s="338"/>
      <c r="AH165" s="338"/>
      <c r="AI165" s="338"/>
      <c r="AJ165" s="338"/>
      <c r="AK165" s="338"/>
      <c r="AL165" s="338"/>
      <c r="AM165" s="338"/>
      <c r="AN165" s="338"/>
      <c r="AO165" s="338"/>
      <c r="AP165" s="338"/>
      <c r="AQ165" s="338"/>
      <c r="AR165" s="338"/>
      <c r="AS165" s="338"/>
      <c r="AT165" s="338"/>
      <c r="AU165" s="338"/>
      <c r="AV165" s="338"/>
      <c r="AW165" s="338"/>
      <c r="AX165" s="338"/>
      <c r="AY165" s="338"/>
      <c r="AZ165" s="338"/>
      <c r="BA165" s="338"/>
      <c r="BB165" s="338"/>
      <c r="BC165" s="338"/>
      <c r="BD165" s="341">
        <v>1</v>
      </c>
    </row>
    <row r="166" spans="1:56" ht="21" customHeight="1" thickBot="1" x14ac:dyDescent="0.3">
      <c r="A166" s="338"/>
      <c r="B166" s="338"/>
      <c r="C166" s="338"/>
      <c r="D166" s="338"/>
      <c r="E166" s="338"/>
      <c r="F166" s="338"/>
      <c r="G166" s="338"/>
      <c r="H166" s="338"/>
      <c r="I166" s="338"/>
      <c r="J166" s="338"/>
      <c r="K166" s="338"/>
      <c r="L166" s="338"/>
      <c r="M166" s="338"/>
      <c r="N166" s="338"/>
      <c r="O166" s="338"/>
      <c r="P166" s="338"/>
      <c r="Q166" s="338"/>
      <c r="R166" s="338"/>
      <c r="S166" s="338"/>
      <c r="T166" s="338"/>
      <c r="U166" s="338"/>
      <c r="V166" s="338"/>
      <c r="W166" s="338"/>
      <c r="X166" s="338"/>
      <c r="Y166" s="338"/>
      <c r="Z166" s="338"/>
      <c r="AA166" s="338"/>
      <c r="AB166" s="338"/>
      <c r="AC166" s="338"/>
      <c r="AD166" s="338"/>
      <c r="AE166" s="338"/>
      <c r="AF166" s="338"/>
      <c r="AG166" s="338"/>
      <c r="AH166" s="338"/>
      <c r="AI166" s="338"/>
      <c r="AJ166" s="338"/>
      <c r="AK166" s="338"/>
      <c r="AL166" s="338"/>
      <c r="AM166" s="338"/>
      <c r="AN166" s="338"/>
      <c r="AO166" s="338"/>
      <c r="AP166" s="338"/>
      <c r="AQ166" s="338"/>
      <c r="AR166" s="338"/>
      <c r="AS166" s="338"/>
      <c r="AT166" s="338"/>
      <c r="AU166" s="338"/>
      <c r="AV166" s="338"/>
      <c r="AW166" s="338"/>
      <c r="AX166" s="338"/>
      <c r="AY166" s="338"/>
      <c r="AZ166" s="338"/>
      <c r="BA166" s="338"/>
      <c r="BB166" s="338"/>
      <c r="BC166" s="338"/>
      <c r="BD166" s="341">
        <v>1</v>
      </c>
    </row>
    <row r="167" spans="1:56" ht="21" customHeight="1" x14ac:dyDescent="0.25">
      <c r="A167" s="338"/>
      <c r="B167" s="944" t="s">
        <v>4491</v>
      </c>
      <c r="C167" s="946" t="s">
        <v>4599</v>
      </c>
      <c r="D167" s="946"/>
      <c r="E167" s="946"/>
      <c r="F167" s="946"/>
      <c r="G167" s="592"/>
      <c r="H167" s="593" t="str">
        <f>F175</f>
        <v>Morceaux</v>
      </c>
      <c r="I167" s="338"/>
      <c r="J167" s="338"/>
      <c r="K167" s="338"/>
      <c r="L167" s="338"/>
      <c r="M167" s="338"/>
      <c r="N167" s="338"/>
      <c r="O167" s="338"/>
      <c r="P167" s="338"/>
      <c r="Q167" s="338"/>
      <c r="R167" s="338"/>
      <c r="S167" s="338"/>
      <c r="T167" s="338"/>
      <c r="U167" s="338"/>
      <c r="V167" s="338"/>
      <c r="W167" s="338"/>
      <c r="X167" s="338"/>
      <c r="Y167" s="338"/>
      <c r="Z167" s="338"/>
      <c r="AA167" s="338"/>
      <c r="AB167" s="338"/>
      <c r="AC167" s="338"/>
      <c r="AD167" s="338"/>
      <c r="AE167" s="338"/>
      <c r="AF167" s="338"/>
      <c r="AG167" s="338"/>
      <c r="AH167" s="338"/>
      <c r="AI167" s="338"/>
      <c r="AJ167" s="338"/>
      <c r="AK167" s="338"/>
      <c r="AL167" s="338"/>
      <c r="AM167" s="338"/>
      <c r="AN167" s="338"/>
      <c r="AO167" s="338"/>
      <c r="AP167" s="338"/>
      <c r="AQ167" s="338"/>
      <c r="AR167" s="338"/>
      <c r="AS167" s="338"/>
      <c r="AT167" s="338"/>
      <c r="AU167" s="338"/>
      <c r="AV167" s="338"/>
      <c r="AW167" s="338"/>
      <c r="AX167" s="338"/>
      <c r="AY167" s="338"/>
      <c r="AZ167" s="338"/>
      <c r="BA167" s="338"/>
      <c r="BB167" s="338"/>
      <c r="BC167" s="338"/>
      <c r="BD167" s="341">
        <v>1</v>
      </c>
    </row>
    <row r="168" spans="1:56" ht="21" customHeight="1" x14ac:dyDescent="0.25">
      <c r="A168" s="338"/>
      <c r="B168" s="945"/>
      <c r="C168" s="594"/>
      <c r="D168" s="594"/>
      <c r="E168" s="595"/>
      <c r="F168" s="596" t="s">
        <v>4600</v>
      </c>
      <c r="G168" s="597" t="str">
        <f>G177</f>
        <v>❹ Cru</v>
      </c>
      <c r="H168" s="598"/>
      <c r="I168" s="338"/>
      <c r="J168" s="338"/>
      <c r="K168" s="338"/>
      <c r="L168" s="338"/>
      <c r="M168" s="338"/>
      <c r="N168" s="338"/>
      <c r="O168" s="338"/>
      <c r="P168" s="338"/>
      <c r="Q168" s="338"/>
      <c r="R168" s="338"/>
      <c r="S168" s="338"/>
      <c r="T168" s="338"/>
      <c r="U168" s="338"/>
      <c r="V168" s="338"/>
      <c r="W168" s="338"/>
      <c r="X168" s="338"/>
      <c r="Y168" s="338"/>
      <c r="Z168" s="338"/>
      <c r="AA168" s="338"/>
      <c r="AB168" s="338"/>
      <c r="AC168" s="338"/>
      <c r="AD168" s="338"/>
      <c r="AE168" s="338"/>
      <c r="AF168" s="338"/>
      <c r="AG168" s="338"/>
      <c r="AH168" s="338"/>
      <c r="AI168" s="338"/>
      <c r="AJ168" s="338"/>
      <c r="AK168" s="338"/>
      <c r="AL168" s="338"/>
      <c r="AM168" s="338"/>
      <c r="AN168" s="338"/>
      <c r="AO168" s="338"/>
      <c r="AP168" s="338"/>
      <c r="AQ168" s="338"/>
      <c r="AR168" s="338"/>
      <c r="AS168" s="338"/>
      <c r="AT168" s="338"/>
      <c r="AU168" s="338"/>
      <c r="AV168" s="338"/>
      <c r="AW168" s="338"/>
      <c r="AX168" s="338"/>
      <c r="AY168" s="338"/>
      <c r="AZ168" s="338"/>
      <c r="BA168" s="338"/>
      <c r="BB168" s="338"/>
      <c r="BC168" s="338"/>
      <c r="BD168" s="341">
        <v>1</v>
      </c>
    </row>
    <row r="169" spans="1:56" ht="21" customHeight="1" x14ac:dyDescent="0.25">
      <c r="A169" s="338"/>
      <c r="B169" s="934">
        <v>3</v>
      </c>
      <c r="C169" s="936" t="str">
        <f>D173</f>
        <v>Sautés en morceaux service au poids</v>
      </c>
      <c r="D169" s="936"/>
      <c r="E169" s="936"/>
      <c r="F169" s="936"/>
      <c r="G169" s="936"/>
      <c r="H169" s="937"/>
      <c r="I169" s="338"/>
      <c r="J169" s="338"/>
      <c r="K169" s="338"/>
      <c r="L169" s="338"/>
      <c r="M169" s="338"/>
      <c r="N169" s="338"/>
      <c r="O169" s="338"/>
      <c r="P169" s="338"/>
      <c r="Q169" s="338"/>
      <c r="R169" s="338"/>
      <c r="S169" s="338"/>
      <c r="T169" s="338"/>
      <c r="U169" s="338"/>
      <c r="V169" s="338"/>
      <c r="W169" s="338"/>
      <c r="X169" s="338"/>
      <c r="Y169" s="338"/>
      <c r="Z169" s="338"/>
      <c r="AA169" s="338"/>
      <c r="AB169" s="338"/>
      <c r="AC169" s="338"/>
      <c r="AD169" s="338"/>
      <c r="AE169" s="338"/>
      <c r="AF169" s="338"/>
      <c r="AG169" s="338"/>
      <c r="AH169" s="338"/>
      <c r="AI169" s="338"/>
      <c r="AJ169" s="338"/>
      <c r="AK169" s="338"/>
      <c r="AL169" s="338"/>
      <c r="AM169" s="338"/>
      <c r="AN169" s="338"/>
      <c r="AO169" s="338"/>
      <c r="AP169" s="338"/>
      <c r="AQ169" s="338"/>
      <c r="AR169" s="338"/>
      <c r="AS169" s="338"/>
      <c r="AT169" s="338"/>
      <c r="AU169" s="338"/>
      <c r="AV169" s="338"/>
      <c r="AW169" s="338"/>
      <c r="AX169" s="338"/>
      <c r="AY169" s="338"/>
      <c r="AZ169" s="338"/>
      <c r="BA169" s="338"/>
      <c r="BB169" s="338"/>
      <c r="BC169" s="338"/>
      <c r="BD169" s="341">
        <v>1</v>
      </c>
    </row>
    <row r="170" spans="1:56" ht="21" customHeight="1" x14ac:dyDescent="0.25">
      <c r="A170" s="338"/>
      <c r="B170" s="934"/>
      <c r="C170" s="599"/>
      <c r="D170" s="600" t="s">
        <v>4601</v>
      </c>
      <c r="E170" s="601">
        <f>IF(E177=0,0,IF(MOD(E184,E177)&gt;MOD(E184,E177)/2,INT(E184/E177)+1,INT(E184/E177)))</f>
        <v>86</v>
      </c>
      <c r="F170" s="602" t="str">
        <f>F174</f>
        <v xml:space="preserve"> GN 1/ 1 = 35 morceaux</v>
      </c>
      <c r="G170" s="603"/>
      <c r="H170" s="604"/>
      <c r="I170" s="338"/>
      <c r="J170" s="338"/>
      <c r="K170" s="338"/>
      <c r="L170" s="338"/>
      <c r="M170" s="338"/>
      <c r="N170" s="338"/>
      <c r="O170" s="338"/>
      <c r="P170" s="338"/>
      <c r="Q170" s="338"/>
      <c r="R170" s="338"/>
      <c r="S170" s="338"/>
      <c r="T170" s="338"/>
      <c r="U170" s="338"/>
      <c r="V170" s="338"/>
      <c r="W170" s="338"/>
      <c r="X170" s="338"/>
      <c r="Y170" s="338"/>
      <c r="Z170" s="338"/>
      <c r="AA170" s="338"/>
      <c r="AB170" s="338"/>
      <c r="AC170" s="338"/>
      <c r="AD170" s="338"/>
      <c r="AE170" s="338"/>
      <c r="AF170" s="338"/>
      <c r="AG170" s="338"/>
      <c r="AH170" s="338"/>
      <c r="AI170" s="338"/>
      <c r="AJ170" s="338"/>
      <c r="AK170" s="338"/>
      <c r="AL170" s="338"/>
      <c r="AM170" s="338"/>
      <c r="AN170" s="338"/>
      <c r="AO170" s="338"/>
      <c r="AP170" s="338"/>
      <c r="AQ170" s="338"/>
      <c r="AR170" s="338"/>
      <c r="AS170" s="338"/>
      <c r="AT170" s="338"/>
      <c r="AU170" s="338"/>
      <c r="AV170" s="338"/>
      <c r="AW170" s="338"/>
      <c r="AX170" s="338"/>
      <c r="AY170" s="338"/>
      <c r="AZ170" s="338"/>
      <c r="BA170" s="338"/>
      <c r="BB170" s="338"/>
      <c r="BC170" s="338"/>
      <c r="BD170" s="341">
        <v>1</v>
      </c>
    </row>
    <row r="171" spans="1:56" ht="21" customHeight="1" x14ac:dyDescent="0.25">
      <c r="A171" s="338"/>
      <c r="B171" s="934"/>
      <c r="C171" s="605">
        <f>INT(E184/E177)</f>
        <v>85</v>
      </c>
      <c r="D171" s="606">
        <f>IF(C171=0,0,IF(E170=0,0,E177))</f>
        <v>21</v>
      </c>
      <c r="E171" s="607" t="str">
        <f>F177</f>
        <v>Morceaux</v>
      </c>
      <c r="F171" s="605" t="str">
        <f>IF(D171*C171=0,"1 de",IF(E184=0,0,IF(E177=0,0,IF(D171*C171=E184,"",IF(G171&gt;0,"Plus 1 de")))))</f>
        <v>Plus 1 de</v>
      </c>
      <c r="G171" s="601">
        <f>IF(E177=0,0,IF(D171*C171=E184,"",MOD(E184,E177)))</f>
        <v>15</v>
      </c>
      <c r="H171" s="608" t="str">
        <f>E171</f>
        <v>Morceaux</v>
      </c>
      <c r="I171" s="338"/>
      <c r="J171" s="338"/>
      <c r="K171" s="338"/>
      <c r="L171" s="338"/>
      <c r="M171" s="338"/>
      <c r="N171" s="338"/>
      <c r="O171" s="338"/>
      <c r="P171" s="338"/>
      <c r="Q171" s="338"/>
      <c r="R171" s="338"/>
      <c r="S171" s="338"/>
      <c r="T171" s="338"/>
      <c r="U171" s="338"/>
      <c r="V171" s="338"/>
      <c r="W171" s="338"/>
      <c r="X171" s="338"/>
      <c r="Y171" s="338"/>
      <c r="Z171" s="338"/>
      <c r="AA171" s="338"/>
      <c r="AB171" s="338"/>
      <c r="AC171" s="338"/>
      <c r="AD171" s="338"/>
      <c r="AE171" s="338"/>
      <c r="AF171" s="338"/>
      <c r="AG171" s="338"/>
      <c r="AH171" s="338"/>
      <c r="AI171" s="338"/>
      <c r="AJ171" s="338"/>
      <c r="AK171" s="338"/>
      <c r="AL171" s="338"/>
      <c r="AM171" s="338"/>
      <c r="AN171" s="338"/>
      <c r="AO171" s="338"/>
      <c r="AP171" s="338"/>
      <c r="AQ171" s="338"/>
      <c r="AR171" s="338"/>
      <c r="AS171" s="338"/>
      <c r="AT171" s="338"/>
      <c r="AU171" s="338"/>
      <c r="AV171" s="338"/>
      <c r="AW171" s="338"/>
      <c r="AX171" s="338"/>
      <c r="AY171" s="338"/>
      <c r="AZ171" s="338"/>
      <c r="BA171" s="338"/>
      <c r="BB171" s="338"/>
      <c r="BC171" s="338"/>
      <c r="BD171" s="341">
        <v>1</v>
      </c>
    </row>
    <row r="172" spans="1:56" ht="21" customHeight="1" x14ac:dyDescent="0.25">
      <c r="A172" s="338"/>
      <c r="B172" s="934"/>
      <c r="C172" s="609" t="str">
        <f>F184</f>
        <v>Morceaux</v>
      </c>
      <c r="D172" s="610">
        <f>E184</f>
        <v>1800</v>
      </c>
      <c r="E172" s="611" t="str">
        <f>H182</f>
        <v>❹ Cru</v>
      </c>
      <c r="F172" s="612">
        <f>E185</f>
        <v>86.4</v>
      </c>
      <c r="G172" s="611" t="str">
        <f>H183</f>
        <v>❺ Cuit</v>
      </c>
      <c r="H172" s="613">
        <f>E186</f>
        <v>43.2</v>
      </c>
      <c r="I172" s="338"/>
      <c r="J172" s="338"/>
      <c r="K172" s="338"/>
      <c r="L172" s="338"/>
      <c r="M172" s="338"/>
      <c r="N172" s="338"/>
      <c r="O172" s="338"/>
      <c r="P172" s="338"/>
      <c r="Q172" s="338"/>
      <c r="R172" s="338"/>
      <c r="S172" s="338"/>
      <c r="T172" s="338"/>
      <c r="U172" s="338"/>
      <c r="V172" s="338"/>
      <c r="W172" s="338"/>
      <c r="X172" s="338"/>
      <c r="Y172" s="338"/>
      <c r="Z172" s="338"/>
      <c r="AA172" s="338"/>
      <c r="AB172" s="338"/>
      <c r="AC172" s="338"/>
      <c r="AD172" s="338"/>
      <c r="AE172" s="338"/>
      <c r="AF172" s="338"/>
      <c r="AG172" s="338"/>
      <c r="AH172" s="338"/>
      <c r="AI172" s="338"/>
      <c r="AJ172" s="338"/>
      <c r="AK172" s="338"/>
      <c r="AL172" s="338"/>
      <c r="AM172" s="338"/>
      <c r="AN172" s="338"/>
      <c r="AO172" s="338"/>
      <c r="AP172" s="338"/>
      <c r="AQ172" s="338"/>
      <c r="AR172" s="338"/>
      <c r="AS172" s="338"/>
      <c r="AT172" s="338"/>
      <c r="AU172" s="338"/>
      <c r="AV172" s="338"/>
      <c r="AW172" s="338"/>
      <c r="AX172" s="338"/>
      <c r="AY172" s="338"/>
      <c r="AZ172" s="338"/>
      <c r="BA172" s="338"/>
      <c r="BB172" s="338"/>
      <c r="BC172" s="338"/>
      <c r="BD172" s="341">
        <v>1</v>
      </c>
    </row>
    <row r="173" spans="1:56" ht="21" customHeight="1" x14ac:dyDescent="0.25">
      <c r="A173" s="338"/>
      <c r="B173" s="934"/>
      <c r="C173" s="500" t="s">
        <v>4602</v>
      </c>
      <c r="D173" s="501" t="s">
        <v>4603</v>
      </c>
      <c r="E173" s="502"/>
      <c r="F173" s="373"/>
      <c r="G173" s="373"/>
      <c r="H173" s="503"/>
      <c r="I173" s="338"/>
      <c r="J173" s="338"/>
      <c r="K173" s="338"/>
      <c r="L173" s="338"/>
      <c r="M173" s="338"/>
      <c r="N173" s="338"/>
      <c r="O173" s="338"/>
      <c r="P173" s="338"/>
      <c r="Q173" s="338"/>
      <c r="R173" s="338"/>
      <c r="S173" s="338"/>
      <c r="T173" s="338"/>
      <c r="U173" s="338"/>
      <c r="V173" s="338"/>
      <c r="W173" s="338"/>
      <c r="X173" s="338"/>
      <c r="Y173" s="338"/>
      <c r="Z173" s="338"/>
      <c r="AA173" s="338"/>
      <c r="AB173" s="338"/>
      <c r="AC173" s="338"/>
      <c r="AD173" s="338"/>
      <c r="AE173" s="338"/>
      <c r="AF173" s="338"/>
      <c r="AG173" s="338"/>
      <c r="AH173" s="338"/>
      <c r="AI173" s="338"/>
      <c r="AJ173" s="338"/>
      <c r="AK173" s="338"/>
      <c r="AL173" s="338"/>
      <c r="AM173" s="338"/>
      <c r="AN173" s="338"/>
      <c r="AO173" s="338"/>
      <c r="AP173" s="338"/>
      <c r="AQ173" s="338"/>
      <c r="AR173" s="338"/>
      <c r="AS173" s="338"/>
      <c r="AT173" s="338"/>
      <c r="AU173" s="338"/>
      <c r="AV173" s="338"/>
      <c r="AW173" s="338"/>
      <c r="AX173" s="338"/>
      <c r="AY173" s="338"/>
      <c r="AZ173" s="338"/>
      <c r="BA173" s="338"/>
      <c r="BB173" s="338"/>
      <c r="BC173" s="338"/>
      <c r="BD173" s="341">
        <v>1</v>
      </c>
    </row>
    <row r="174" spans="1:56" ht="21" customHeight="1" x14ac:dyDescent="0.25">
      <c r="A174" s="338"/>
      <c r="B174" s="934"/>
      <c r="C174" s="373"/>
      <c r="D174" s="373"/>
      <c r="E174" s="505" t="s">
        <v>4604</v>
      </c>
      <c r="F174" s="614" t="s">
        <v>4636</v>
      </c>
      <c r="G174" s="614"/>
      <c r="H174" s="615"/>
      <c r="I174" s="338"/>
      <c r="J174" s="338"/>
      <c r="K174" s="338"/>
      <c r="L174" s="338"/>
      <c r="M174" s="338"/>
      <c r="N174" s="338"/>
      <c r="O174" s="338"/>
      <c r="P174" s="338"/>
      <c r="Q174" s="338"/>
      <c r="R174" s="338"/>
      <c r="S174" s="338"/>
      <c r="T174" s="338"/>
      <c r="U174" s="338"/>
      <c r="V174" s="338"/>
      <c r="W174" s="338"/>
      <c r="X174" s="338"/>
      <c r="Y174" s="338"/>
      <c r="Z174" s="338"/>
      <c r="AA174" s="338"/>
      <c r="AB174" s="338"/>
      <c r="AC174" s="338"/>
      <c r="AD174" s="338"/>
      <c r="AE174" s="338"/>
      <c r="AF174" s="338"/>
      <c r="AG174" s="338"/>
      <c r="AH174" s="338"/>
      <c r="AI174" s="338"/>
      <c r="AJ174" s="338"/>
      <c r="AK174" s="338"/>
      <c r="AL174" s="338"/>
      <c r="AM174" s="338"/>
      <c r="AN174" s="338"/>
      <c r="AO174" s="338"/>
      <c r="AP174" s="338"/>
      <c r="AQ174" s="338"/>
      <c r="AR174" s="338"/>
      <c r="AS174" s="338"/>
      <c r="AT174" s="338"/>
      <c r="AU174" s="338"/>
      <c r="AV174" s="338"/>
      <c r="AW174" s="338"/>
      <c r="AX174" s="338"/>
      <c r="AY174" s="338"/>
      <c r="AZ174" s="338"/>
      <c r="BA174" s="338"/>
      <c r="BB174" s="338"/>
      <c r="BC174" s="338"/>
      <c r="BD174" s="341">
        <v>1</v>
      </c>
    </row>
    <row r="175" spans="1:56" ht="21" customHeight="1" x14ac:dyDescent="0.25">
      <c r="A175" s="338"/>
      <c r="B175" s="934"/>
      <c r="C175" s="373"/>
      <c r="D175" s="373"/>
      <c r="E175" s="616" t="s">
        <v>4637</v>
      </c>
      <c r="F175" s="617" t="s">
        <v>4638</v>
      </c>
      <c r="G175" s="618" t="s">
        <v>4639</v>
      </c>
      <c r="H175" s="619"/>
      <c r="I175" s="338"/>
      <c r="J175" s="338"/>
      <c r="K175" s="338"/>
      <c r="L175" s="338"/>
      <c r="M175" s="338"/>
      <c r="N175" s="338"/>
      <c r="O175" s="338"/>
      <c r="P175" s="338"/>
      <c r="Q175" s="338"/>
      <c r="R175" s="338"/>
      <c r="S175" s="338"/>
      <c r="T175" s="338"/>
      <c r="U175" s="338"/>
      <c r="V175" s="338"/>
      <c r="W175" s="338"/>
      <c r="X175" s="338"/>
      <c r="Y175" s="338"/>
      <c r="Z175" s="338"/>
      <c r="AA175" s="338"/>
      <c r="AB175" s="338"/>
      <c r="AC175" s="338"/>
      <c r="AD175" s="338"/>
      <c r="AE175" s="338"/>
      <c r="AF175" s="338"/>
      <c r="AG175" s="338"/>
      <c r="AH175" s="338"/>
      <c r="AI175" s="338"/>
      <c r="AJ175" s="338"/>
      <c r="AK175" s="338"/>
      <c r="AL175" s="338"/>
      <c r="AM175" s="338"/>
      <c r="AN175" s="338"/>
      <c r="AO175" s="338"/>
      <c r="AP175" s="338"/>
      <c r="AQ175" s="338"/>
      <c r="AR175" s="338"/>
      <c r="AS175" s="338"/>
      <c r="AT175" s="338"/>
      <c r="AU175" s="338"/>
      <c r="AV175" s="338"/>
      <c r="AW175" s="338"/>
      <c r="AX175" s="338"/>
      <c r="AY175" s="338"/>
      <c r="AZ175" s="338"/>
      <c r="BA175" s="338"/>
      <c r="BB175" s="338"/>
      <c r="BC175" s="338"/>
      <c r="BD175" s="341">
        <v>1</v>
      </c>
    </row>
    <row r="176" spans="1:56" ht="21" customHeight="1" x14ac:dyDescent="0.25">
      <c r="A176" s="338"/>
      <c r="B176" s="934"/>
      <c r="C176" s="373"/>
      <c r="D176" s="507"/>
      <c r="E176" s="508"/>
      <c r="F176" s="509"/>
      <c r="G176" s="509" t="s">
        <v>4606</v>
      </c>
      <c r="H176" s="503"/>
      <c r="I176" s="338"/>
      <c r="J176" s="338"/>
      <c r="K176" s="338"/>
      <c r="L176" s="338"/>
      <c r="M176" s="338"/>
      <c r="N176" s="338"/>
      <c r="O176" s="338"/>
      <c r="P176" s="338"/>
      <c r="Q176" s="338"/>
      <c r="R176" s="338"/>
      <c r="S176" s="338"/>
      <c r="T176" s="338"/>
      <c r="U176" s="338"/>
      <c r="V176" s="338"/>
      <c r="W176" s="338"/>
      <c r="X176" s="338"/>
      <c r="Y176" s="338"/>
      <c r="Z176" s="338"/>
      <c r="AA176" s="338"/>
      <c r="AB176" s="338"/>
      <c r="AC176" s="338"/>
      <c r="AD176" s="338"/>
      <c r="AE176" s="338"/>
      <c r="AF176" s="338"/>
      <c r="AG176" s="338"/>
      <c r="AH176" s="338"/>
      <c r="AI176" s="338"/>
      <c r="AJ176" s="338"/>
      <c r="AK176" s="338"/>
      <c r="AL176" s="338"/>
      <c r="AM176" s="338"/>
      <c r="AN176" s="338"/>
      <c r="AO176" s="338"/>
      <c r="AP176" s="338"/>
      <c r="AQ176" s="338"/>
      <c r="AR176" s="338"/>
      <c r="AS176" s="338"/>
      <c r="AT176" s="338"/>
      <c r="AU176" s="338"/>
      <c r="AV176" s="338"/>
      <c r="AW176" s="338"/>
      <c r="AX176" s="338"/>
      <c r="AY176" s="338"/>
      <c r="AZ176" s="338"/>
      <c r="BA176" s="338"/>
      <c r="BB176" s="338"/>
      <c r="BC176" s="338"/>
      <c r="BD176" s="341">
        <v>1</v>
      </c>
    </row>
    <row r="177" spans="1:56" ht="21" customHeight="1" x14ac:dyDescent="0.25">
      <c r="A177" s="338"/>
      <c r="B177" s="934"/>
      <c r="C177" s="511"/>
      <c r="D177" s="512" t="s">
        <v>4607</v>
      </c>
      <c r="E177" s="620">
        <v>21</v>
      </c>
      <c r="F177" s="435" t="str">
        <f>F175</f>
        <v>Morceaux</v>
      </c>
      <c r="G177" s="514" t="s">
        <v>4640</v>
      </c>
      <c r="H177" s="621"/>
      <c r="I177" s="338"/>
      <c r="J177" s="338"/>
      <c r="K177" s="338"/>
      <c r="L177" s="338"/>
      <c r="M177" s="338"/>
      <c r="N177" s="338"/>
      <c r="O177" s="338"/>
      <c r="P177" s="338"/>
      <c r="Q177" s="338"/>
      <c r="R177" s="338"/>
      <c r="S177" s="338"/>
      <c r="T177" s="338"/>
      <c r="U177" s="338"/>
      <c r="V177" s="338"/>
      <c r="W177" s="338"/>
      <c r="X177" s="338"/>
      <c r="Y177" s="338"/>
      <c r="Z177" s="338"/>
      <c r="AA177" s="338"/>
      <c r="AB177" s="338"/>
      <c r="AC177" s="338"/>
      <c r="AD177" s="338"/>
      <c r="AE177" s="338"/>
      <c r="AF177" s="338"/>
      <c r="AG177" s="338"/>
      <c r="AH177" s="338"/>
      <c r="AI177" s="338"/>
      <c r="AJ177" s="338"/>
      <c r="AK177" s="338"/>
      <c r="AL177" s="338"/>
      <c r="AM177" s="338"/>
      <c r="AN177" s="338"/>
      <c r="AO177" s="338"/>
      <c r="AP177" s="338"/>
      <c r="AQ177" s="338"/>
      <c r="AR177" s="338"/>
      <c r="AS177" s="338"/>
      <c r="AT177" s="338"/>
      <c r="AU177" s="338"/>
      <c r="AV177" s="338"/>
      <c r="AW177" s="338"/>
      <c r="AX177" s="338"/>
      <c r="AY177" s="338"/>
      <c r="AZ177" s="338"/>
      <c r="BA177" s="338"/>
      <c r="BB177" s="338"/>
      <c r="BC177" s="338"/>
      <c r="BD177" s="341">
        <v>1</v>
      </c>
    </row>
    <row r="178" spans="1:56" ht="21" customHeight="1" x14ac:dyDescent="0.25">
      <c r="A178" s="338"/>
      <c r="B178" s="934"/>
      <c r="C178" s="511"/>
      <c r="D178" s="622" t="s">
        <v>4641</v>
      </c>
      <c r="E178" s="521">
        <v>4.8000000000000001E-2</v>
      </c>
      <c r="F178" s="623" t="str">
        <f>G177</f>
        <v>❹ Cru</v>
      </c>
      <c r="G178" s="478">
        <f>IF(F178=E196,E178-(E178*E179%),IF(F178=E197,E178/(100-E179)*100))</f>
        <v>2.4E-2</v>
      </c>
      <c r="H178" s="523" t="str">
        <f>IF(F178=E196,E197,E196)</f>
        <v>❺ Cuit</v>
      </c>
      <c r="I178" s="338"/>
      <c r="J178" s="338"/>
      <c r="K178" s="338"/>
      <c r="L178" s="338"/>
      <c r="M178" s="338"/>
      <c r="N178" s="338"/>
      <c r="O178" s="338"/>
      <c r="P178" s="338"/>
      <c r="Q178" s="338"/>
      <c r="R178" s="338"/>
      <c r="S178" s="338"/>
      <c r="T178" s="338"/>
      <c r="U178" s="338"/>
      <c r="V178" s="338"/>
      <c r="W178" s="338"/>
      <c r="X178" s="338"/>
      <c r="Y178" s="338"/>
      <c r="Z178" s="338"/>
      <c r="AA178" s="338"/>
      <c r="AB178" s="338"/>
      <c r="AC178" s="338"/>
      <c r="AD178" s="338"/>
      <c r="AE178" s="338"/>
      <c r="AF178" s="338"/>
      <c r="AG178" s="338"/>
      <c r="AH178" s="338"/>
      <c r="AI178" s="338"/>
      <c r="AJ178" s="338"/>
      <c r="AK178" s="338"/>
      <c r="AL178" s="338"/>
      <c r="AM178" s="338"/>
      <c r="AN178" s="338"/>
      <c r="AO178" s="338"/>
      <c r="AP178" s="338"/>
      <c r="AQ178" s="338"/>
      <c r="AR178" s="338"/>
      <c r="AS178" s="338"/>
      <c r="AT178" s="338"/>
      <c r="AU178" s="338"/>
      <c r="AV178" s="338"/>
      <c r="AW178" s="338"/>
      <c r="AX178" s="338"/>
      <c r="AY178" s="338"/>
      <c r="AZ178" s="338"/>
      <c r="BA178" s="338"/>
      <c r="BB178" s="338"/>
      <c r="BC178" s="338"/>
      <c r="BD178" s="341">
        <v>1</v>
      </c>
    </row>
    <row r="179" spans="1:56" ht="21" customHeight="1" x14ac:dyDescent="0.25">
      <c r="A179" s="338"/>
      <c r="B179" s="934"/>
      <c r="C179" s="373"/>
      <c r="D179" s="624" t="str">
        <f>IF(G177=E197,"❻ % de BONI &gt;",IF(G177=E196,"❻ %  de PERTE &gt;",IF(ISBLANK(E179),0)))</f>
        <v>❻ %  de PERTE &gt;</v>
      </c>
      <c r="E179" s="518">
        <v>50</v>
      </c>
      <c r="F179" s="344"/>
      <c r="G179" s="515"/>
      <c r="H179" s="516"/>
      <c r="I179" s="338"/>
      <c r="J179" s="338"/>
      <c r="K179" s="338"/>
      <c r="L179" s="338"/>
      <c r="M179" s="338"/>
      <c r="N179" s="338"/>
      <c r="O179" s="338"/>
      <c r="P179" s="338"/>
      <c r="Q179" s="338"/>
      <c r="R179" s="338"/>
      <c r="S179" s="338"/>
      <c r="T179" s="338"/>
      <c r="U179" s="338"/>
      <c r="V179" s="338"/>
      <c r="W179" s="338"/>
      <c r="X179" s="338"/>
      <c r="Y179" s="338"/>
      <c r="Z179" s="338"/>
      <c r="AA179" s="338"/>
      <c r="AB179" s="338"/>
      <c r="AC179" s="338"/>
      <c r="AD179" s="338"/>
      <c r="AE179" s="338"/>
      <c r="AF179" s="338"/>
      <c r="AG179" s="338"/>
      <c r="AH179" s="338"/>
      <c r="AI179" s="338"/>
      <c r="AJ179" s="338"/>
      <c r="AK179" s="338"/>
      <c r="AL179" s="338"/>
      <c r="AM179" s="338"/>
      <c r="AN179" s="338"/>
      <c r="AO179" s="338"/>
      <c r="AP179" s="338"/>
      <c r="AQ179" s="338"/>
      <c r="AR179" s="338"/>
      <c r="AS179" s="338"/>
      <c r="AT179" s="338"/>
      <c r="AU179" s="338"/>
      <c r="AV179" s="338"/>
      <c r="AW179" s="338"/>
      <c r="AX179" s="338"/>
      <c r="AY179" s="338"/>
      <c r="AZ179" s="338"/>
      <c r="BA179" s="338"/>
      <c r="BB179" s="338"/>
      <c r="BC179" s="338"/>
      <c r="BD179" s="341">
        <v>1</v>
      </c>
    </row>
    <row r="180" spans="1:56" ht="21" customHeight="1" x14ac:dyDescent="0.25">
      <c r="A180" s="338"/>
      <c r="B180" s="934"/>
      <c r="C180" s="373"/>
      <c r="D180" s="340"/>
      <c r="E180" s="340"/>
      <c r="F180" s="340"/>
      <c r="G180" s="340"/>
      <c r="H180" s="440"/>
      <c r="I180" s="338"/>
      <c r="J180" s="338"/>
      <c r="K180" s="338"/>
      <c r="L180" s="338"/>
      <c r="M180" s="338"/>
      <c r="N180" s="338"/>
      <c r="O180" s="338"/>
      <c r="P180" s="338"/>
      <c r="Q180" s="338"/>
      <c r="R180" s="338"/>
      <c r="S180" s="338"/>
      <c r="T180" s="338"/>
      <c r="U180" s="338"/>
      <c r="V180" s="338"/>
      <c r="W180" s="338"/>
      <c r="X180" s="338"/>
      <c r="Y180" s="338"/>
      <c r="Z180" s="338"/>
      <c r="AA180" s="338"/>
      <c r="AB180" s="338"/>
      <c r="AC180" s="338"/>
      <c r="AD180" s="338"/>
      <c r="AE180" s="338"/>
      <c r="AF180" s="338"/>
      <c r="AG180" s="338"/>
      <c r="AH180" s="338"/>
      <c r="AI180" s="338"/>
      <c r="AJ180" s="338"/>
      <c r="AK180" s="338"/>
      <c r="AL180" s="338"/>
      <c r="AM180" s="338"/>
      <c r="AN180" s="338"/>
      <c r="AO180" s="338"/>
      <c r="AP180" s="338"/>
      <c r="AQ180" s="338"/>
      <c r="AR180" s="338"/>
      <c r="AS180" s="338"/>
      <c r="AT180" s="338"/>
      <c r="AU180" s="338"/>
      <c r="AV180" s="338"/>
      <c r="AW180" s="338"/>
      <c r="AX180" s="338"/>
      <c r="AY180" s="338"/>
      <c r="AZ180" s="338"/>
      <c r="BA180" s="338"/>
      <c r="BB180" s="338"/>
      <c r="BC180" s="338"/>
      <c r="BD180" s="341">
        <v>1</v>
      </c>
    </row>
    <row r="181" spans="1:56" ht="21" customHeight="1" x14ac:dyDescent="0.25">
      <c r="A181" s="338"/>
      <c r="B181" s="934"/>
      <c r="C181" s="373"/>
      <c r="D181" s="625" t="s">
        <v>4609</v>
      </c>
      <c r="E181" s="626">
        <v>1200</v>
      </c>
      <c r="F181" s="627" t="s">
        <v>4610</v>
      </c>
      <c r="G181" s="373"/>
      <c r="H181" s="527"/>
      <c r="I181" s="338"/>
      <c r="J181" s="338"/>
      <c r="K181" s="338"/>
      <c r="L181" s="338"/>
      <c r="M181" s="338"/>
      <c r="N181" s="338"/>
      <c r="O181" s="338"/>
      <c r="P181" s="338"/>
      <c r="Q181" s="338"/>
      <c r="R181" s="338"/>
      <c r="S181" s="338"/>
      <c r="T181" s="338"/>
      <c r="U181" s="338"/>
      <c r="V181" s="338"/>
      <c r="W181" s="338"/>
      <c r="X181" s="338"/>
      <c r="Y181" s="338"/>
      <c r="Z181" s="338"/>
      <c r="AA181" s="338"/>
      <c r="AB181" s="338"/>
      <c r="AC181" s="338"/>
      <c r="AD181" s="338"/>
      <c r="AE181" s="338"/>
      <c r="AF181" s="338"/>
      <c r="AG181" s="338"/>
      <c r="AH181" s="338"/>
      <c r="AI181" s="338"/>
      <c r="AJ181" s="338"/>
      <c r="AK181" s="338"/>
      <c r="AL181" s="338"/>
      <c r="AM181" s="338"/>
      <c r="AN181" s="338"/>
      <c r="AO181" s="338"/>
      <c r="AP181" s="338"/>
      <c r="AQ181" s="338"/>
      <c r="AR181" s="338"/>
      <c r="AS181" s="338"/>
      <c r="AT181" s="338"/>
      <c r="AU181" s="338"/>
      <c r="AV181" s="338"/>
      <c r="AW181" s="338"/>
      <c r="AX181" s="338"/>
      <c r="AY181" s="338"/>
      <c r="AZ181" s="338"/>
      <c r="BA181" s="338"/>
      <c r="BB181" s="338"/>
      <c r="BC181" s="338"/>
      <c r="BD181" s="341">
        <v>1</v>
      </c>
    </row>
    <row r="182" spans="1:56" ht="21" customHeight="1" x14ac:dyDescent="0.25">
      <c r="A182" s="338"/>
      <c r="B182" s="934"/>
      <c r="C182" s="373"/>
      <c r="D182" s="520" t="s">
        <v>4642</v>
      </c>
      <c r="E182" s="628">
        <v>1.5</v>
      </c>
      <c r="F182" s="344" t="str">
        <f>F175</f>
        <v>Morceaux</v>
      </c>
      <c r="G182" s="629">
        <f>E178*E182</f>
        <v>7.2000000000000008E-2</v>
      </c>
      <c r="H182" s="523" t="str">
        <f>F178</f>
        <v>❹ Cru</v>
      </c>
      <c r="I182" s="338"/>
      <c r="J182" s="338"/>
      <c r="K182" s="338"/>
      <c r="L182" s="338"/>
      <c r="M182" s="338"/>
      <c r="N182" s="338"/>
      <c r="O182" s="338"/>
      <c r="P182" s="338"/>
      <c r="Q182" s="338"/>
      <c r="R182" s="338"/>
      <c r="S182" s="338"/>
      <c r="T182" s="338"/>
      <c r="U182" s="338"/>
      <c r="V182" s="338"/>
      <c r="W182" s="338"/>
      <c r="X182" s="338"/>
      <c r="Y182" s="338"/>
      <c r="Z182" s="338"/>
      <c r="AA182" s="338"/>
      <c r="AB182" s="338"/>
      <c r="AC182" s="338"/>
      <c r="AD182" s="338"/>
      <c r="AE182" s="338"/>
      <c r="AF182" s="338"/>
      <c r="AG182" s="338"/>
      <c r="AH182" s="338"/>
      <c r="AI182" s="338"/>
      <c r="AJ182" s="338"/>
      <c r="AK182" s="338"/>
      <c r="AL182" s="338"/>
      <c r="AM182" s="338"/>
      <c r="AN182" s="338"/>
      <c r="AO182" s="338"/>
      <c r="AP182" s="338"/>
      <c r="AQ182" s="338"/>
      <c r="AR182" s="338"/>
      <c r="AS182" s="338"/>
      <c r="AT182" s="338"/>
      <c r="AU182" s="338"/>
      <c r="AV182" s="338"/>
      <c r="AW182" s="338"/>
      <c r="AX182" s="338"/>
      <c r="AY182" s="338"/>
      <c r="AZ182" s="338"/>
      <c r="BA182" s="338"/>
      <c r="BB182" s="338"/>
      <c r="BC182" s="338"/>
      <c r="BD182" s="341">
        <v>1</v>
      </c>
    </row>
    <row r="183" spans="1:56" ht="21" customHeight="1" x14ac:dyDescent="0.25">
      <c r="A183" s="338"/>
      <c r="B183" s="934"/>
      <c r="C183" s="373"/>
      <c r="D183" s="520"/>
      <c r="E183" s="630"/>
      <c r="F183" s="340"/>
      <c r="G183" s="629">
        <f>G178*E182</f>
        <v>3.6000000000000004E-2</v>
      </c>
      <c r="H183" s="523" t="str">
        <f>H178</f>
        <v>❺ Cuit</v>
      </c>
      <c r="I183" s="338"/>
      <c r="J183" s="338"/>
      <c r="K183" s="338"/>
      <c r="L183" s="338"/>
      <c r="M183" s="338"/>
      <c r="N183" s="338"/>
      <c r="O183" s="338"/>
      <c r="P183" s="338"/>
      <c r="Q183" s="338"/>
      <c r="R183" s="338"/>
      <c r="S183" s="338"/>
      <c r="T183" s="338"/>
      <c r="U183" s="338"/>
      <c r="V183" s="338"/>
      <c r="W183" s="338"/>
      <c r="X183" s="338"/>
      <c r="Y183" s="338"/>
      <c r="Z183" s="338"/>
      <c r="AA183" s="338"/>
      <c r="AB183" s="338"/>
      <c r="AC183" s="338"/>
      <c r="AD183" s="338"/>
      <c r="AE183" s="338"/>
      <c r="AF183" s="338"/>
      <c r="AG183" s="338"/>
      <c r="AH183" s="338"/>
      <c r="AI183" s="338"/>
      <c r="AJ183" s="338"/>
      <c r="AK183" s="338"/>
      <c r="AL183" s="338"/>
      <c r="AM183" s="338"/>
      <c r="AN183" s="338"/>
      <c r="AO183" s="338"/>
      <c r="AP183" s="338"/>
      <c r="AQ183" s="338"/>
      <c r="AR183" s="338"/>
      <c r="AS183" s="338"/>
      <c r="AT183" s="338"/>
      <c r="AU183" s="338"/>
      <c r="AV183" s="338"/>
      <c r="AW183" s="338"/>
      <c r="AX183" s="338"/>
      <c r="AY183" s="338"/>
      <c r="AZ183" s="338"/>
      <c r="BA183" s="338"/>
      <c r="BB183" s="338"/>
      <c r="BC183" s="338"/>
      <c r="BD183" s="341">
        <v>1</v>
      </c>
    </row>
    <row r="184" spans="1:56" ht="21" customHeight="1" x14ac:dyDescent="0.25">
      <c r="A184" s="338"/>
      <c r="B184" s="934"/>
      <c r="C184" s="373"/>
      <c r="D184" s="528" t="s">
        <v>4611</v>
      </c>
      <c r="E184" s="446">
        <f>E182*E181</f>
        <v>1800</v>
      </c>
      <c r="F184" s="631" t="str">
        <f>F175</f>
        <v>Morceaux</v>
      </c>
      <c r="G184" s="531"/>
      <c r="H184" s="532"/>
      <c r="I184" s="338"/>
      <c r="J184" s="338"/>
      <c r="K184" s="338"/>
      <c r="L184" s="338"/>
      <c r="M184" s="338"/>
      <c r="N184" s="338"/>
      <c r="O184" s="338"/>
      <c r="P184" s="338"/>
      <c r="Q184" s="338"/>
      <c r="R184" s="338"/>
      <c r="S184" s="338"/>
      <c r="T184" s="338"/>
      <c r="U184" s="338"/>
      <c r="V184" s="338"/>
      <c r="W184" s="338"/>
      <c r="X184" s="338"/>
      <c r="Y184" s="338"/>
      <c r="Z184" s="338"/>
      <c r="AA184" s="338"/>
      <c r="AB184" s="338"/>
      <c r="AC184" s="338"/>
      <c r="AD184" s="338"/>
      <c r="AE184" s="338"/>
      <c r="AF184" s="338"/>
      <c r="AG184" s="338"/>
      <c r="AH184" s="338"/>
      <c r="AI184" s="338"/>
      <c r="AJ184" s="338"/>
      <c r="AK184" s="338"/>
      <c r="AL184" s="338"/>
      <c r="AM184" s="338"/>
      <c r="AN184" s="338"/>
      <c r="AO184" s="338"/>
      <c r="AP184" s="338"/>
      <c r="AQ184" s="338"/>
      <c r="AR184" s="338"/>
      <c r="AS184" s="338"/>
      <c r="AT184" s="338"/>
      <c r="AU184" s="338"/>
      <c r="AV184" s="338"/>
      <c r="AW184" s="338"/>
      <c r="AX184" s="338"/>
      <c r="AY184" s="338"/>
      <c r="AZ184" s="338"/>
      <c r="BA184" s="338"/>
      <c r="BB184" s="338"/>
      <c r="BC184" s="338"/>
      <c r="BD184" s="341">
        <v>1</v>
      </c>
    </row>
    <row r="185" spans="1:56" ht="21" customHeight="1" x14ac:dyDescent="0.25">
      <c r="A185" s="338"/>
      <c r="B185" s="934"/>
      <c r="C185" s="373"/>
      <c r="D185" s="528"/>
      <c r="E185" s="632">
        <f>G182*E181</f>
        <v>86.4</v>
      </c>
      <c r="F185" s="633" t="str">
        <f>F178</f>
        <v>❹ Cru</v>
      </c>
      <c r="G185" s="531"/>
      <c r="H185" s="532"/>
      <c r="I185" s="338"/>
      <c r="J185" s="338"/>
      <c r="K185" s="338"/>
      <c r="L185" s="338"/>
      <c r="M185" s="338"/>
      <c r="N185" s="338"/>
      <c r="O185" s="338"/>
      <c r="P185" s="338"/>
      <c r="Q185" s="338"/>
      <c r="R185" s="338"/>
      <c r="S185" s="338"/>
      <c r="T185" s="338"/>
      <c r="U185" s="338"/>
      <c r="V185" s="338"/>
      <c r="W185" s="338"/>
      <c r="X185" s="338"/>
      <c r="Y185" s="338"/>
      <c r="Z185" s="338"/>
      <c r="AA185" s="338"/>
      <c r="AB185" s="338"/>
      <c r="AC185" s="338"/>
      <c r="AD185" s="338"/>
      <c r="AE185" s="338"/>
      <c r="AF185" s="338"/>
      <c r="AG185" s="338"/>
      <c r="AH185" s="338"/>
      <c r="AI185" s="338"/>
      <c r="AJ185" s="338"/>
      <c r="AK185" s="338"/>
      <c r="AL185" s="338"/>
      <c r="AM185" s="338"/>
      <c r="AN185" s="338"/>
      <c r="AO185" s="338"/>
      <c r="AP185" s="338"/>
      <c r="AQ185" s="338"/>
      <c r="AR185" s="338"/>
      <c r="AS185" s="338"/>
      <c r="AT185" s="338"/>
      <c r="AU185" s="338"/>
      <c r="AV185" s="338"/>
      <c r="AW185" s="338"/>
      <c r="AX185" s="338"/>
      <c r="AY185" s="338"/>
      <c r="AZ185" s="338"/>
      <c r="BA185" s="338"/>
      <c r="BB185" s="338"/>
      <c r="BC185" s="338"/>
      <c r="BD185" s="341">
        <v>1</v>
      </c>
    </row>
    <row r="186" spans="1:56" ht="21" customHeight="1" x14ac:dyDescent="0.25">
      <c r="A186" s="338"/>
      <c r="B186" s="934"/>
      <c r="C186" s="373"/>
      <c r="D186" s="528"/>
      <c r="E186" s="632">
        <f>G183*E181</f>
        <v>43.2</v>
      </c>
      <c r="F186" s="623" t="str">
        <f>H178</f>
        <v>❺ Cuit</v>
      </c>
      <c r="G186" s="531"/>
      <c r="H186" s="532"/>
      <c r="I186" s="338"/>
      <c r="J186" s="338"/>
      <c r="K186" s="338"/>
      <c r="L186" s="338"/>
      <c r="M186" s="338"/>
      <c r="N186" s="338"/>
      <c r="O186" s="338"/>
      <c r="P186" s="338"/>
      <c r="Q186" s="338"/>
      <c r="R186" s="338"/>
      <c r="S186" s="338"/>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338"/>
      <c r="AP186" s="338"/>
      <c r="AQ186" s="338"/>
      <c r="AR186" s="338"/>
      <c r="AS186" s="338"/>
      <c r="AT186" s="338"/>
      <c r="AU186" s="338"/>
      <c r="AV186" s="338"/>
      <c r="AW186" s="338"/>
      <c r="AX186" s="338"/>
      <c r="AY186" s="338"/>
      <c r="AZ186" s="338"/>
      <c r="BA186" s="338"/>
      <c r="BB186" s="338"/>
      <c r="BC186" s="338"/>
      <c r="BD186" s="341">
        <v>1</v>
      </c>
    </row>
    <row r="187" spans="1:56" ht="21" customHeight="1" x14ac:dyDescent="0.25">
      <c r="A187" s="338"/>
      <c r="B187" s="934"/>
      <c r="C187" s="418"/>
      <c r="D187" s="533" t="s">
        <v>4612</v>
      </c>
      <c r="E187" s="534">
        <f>E170</f>
        <v>86</v>
      </c>
      <c r="F187" s="535" t="s">
        <v>4613</v>
      </c>
      <c r="G187" s="536">
        <f>IF(ISBLANK(E182),0,E177/E182)</f>
        <v>14</v>
      </c>
      <c r="H187" s="503"/>
      <c r="I187" s="338"/>
      <c r="J187" s="338"/>
      <c r="K187" s="338"/>
      <c r="L187" s="338"/>
      <c r="M187" s="338"/>
      <c r="N187" s="338"/>
      <c r="O187" s="338"/>
      <c r="P187" s="338"/>
      <c r="Q187" s="338"/>
      <c r="R187" s="338"/>
      <c r="S187" s="338"/>
      <c r="T187" s="338"/>
      <c r="U187" s="338"/>
      <c r="V187" s="338"/>
      <c r="W187" s="338"/>
      <c r="X187" s="338"/>
      <c r="Y187" s="338"/>
      <c r="Z187" s="338"/>
      <c r="AA187" s="338"/>
      <c r="AB187" s="338"/>
      <c r="AC187" s="338"/>
      <c r="AD187" s="338"/>
      <c r="AE187" s="338"/>
      <c r="AF187" s="338"/>
      <c r="AG187" s="338"/>
      <c r="AH187" s="338"/>
      <c r="AI187" s="338"/>
      <c r="AJ187" s="338"/>
      <c r="AK187" s="338"/>
      <c r="AL187" s="338"/>
      <c r="AM187" s="338"/>
      <c r="AN187" s="338"/>
      <c r="AO187" s="338"/>
      <c r="AP187" s="338"/>
      <c r="AQ187" s="338"/>
      <c r="AR187" s="338"/>
      <c r="AS187" s="338"/>
      <c r="AT187" s="338"/>
      <c r="AU187" s="338"/>
      <c r="AV187" s="338"/>
      <c r="AW187" s="338"/>
      <c r="AX187" s="338"/>
      <c r="AY187" s="338"/>
      <c r="AZ187" s="338"/>
      <c r="BA187" s="338"/>
      <c r="BB187" s="338"/>
      <c r="BC187" s="338"/>
      <c r="BD187" s="341">
        <v>1</v>
      </c>
    </row>
    <row r="188" spans="1:56" ht="21" customHeight="1" x14ac:dyDescent="0.25">
      <c r="A188" s="338"/>
      <c r="B188" s="934"/>
      <c r="C188" s="373"/>
      <c r="D188" s="533"/>
      <c r="E188" s="534"/>
      <c r="F188" s="537"/>
      <c r="G188" s="536"/>
      <c r="H188" s="503"/>
      <c r="I188" s="338"/>
      <c r="J188" s="338"/>
      <c r="K188" s="338"/>
      <c r="L188" s="338"/>
      <c r="M188" s="338"/>
      <c r="N188" s="338"/>
      <c r="O188" s="338"/>
      <c r="P188" s="338"/>
      <c r="Q188" s="338"/>
      <c r="R188" s="338"/>
      <c r="S188" s="338"/>
      <c r="T188" s="338"/>
      <c r="U188" s="338"/>
      <c r="V188" s="338"/>
      <c r="W188" s="338"/>
      <c r="X188" s="338"/>
      <c r="Y188" s="338"/>
      <c r="Z188" s="338"/>
      <c r="AA188" s="338"/>
      <c r="AB188" s="338"/>
      <c r="AC188" s="338"/>
      <c r="AD188" s="338"/>
      <c r="AE188" s="338"/>
      <c r="AF188" s="338"/>
      <c r="AG188" s="338"/>
      <c r="AH188" s="338"/>
      <c r="AI188" s="338"/>
      <c r="AJ188" s="338"/>
      <c r="AK188" s="338"/>
      <c r="AL188" s="338"/>
      <c r="AM188" s="338"/>
      <c r="AN188" s="338"/>
      <c r="AO188" s="338"/>
      <c r="AP188" s="338"/>
      <c r="AQ188" s="338"/>
      <c r="AR188" s="338"/>
      <c r="AS188" s="338"/>
      <c r="AT188" s="338"/>
      <c r="AU188" s="338"/>
      <c r="AV188" s="338"/>
      <c r="AW188" s="338"/>
      <c r="AX188" s="338"/>
      <c r="AY188" s="338"/>
      <c r="AZ188" s="338"/>
      <c r="BA188" s="338"/>
      <c r="BB188" s="338"/>
      <c r="BC188" s="338"/>
      <c r="BD188" s="341">
        <v>1</v>
      </c>
    </row>
    <row r="189" spans="1:56" ht="21" customHeight="1" x14ac:dyDescent="0.25">
      <c r="A189" s="338"/>
      <c r="B189" s="934"/>
      <c r="C189" s="938" t="s">
        <v>4614</v>
      </c>
      <c r="D189" s="938"/>
      <c r="E189" s="938"/>
      <c r="F189" s="938"/>
      <c r="G189" s="938"/>
      <c r="H189" s="939"/>
      <c r="I189" s="338"/>
      <c r="J189" s="338"/>
      <c r="K189" s="338"/>
      <c r="L189" s="338"/>
      <c r="M189" s="338"/>
      <c r="N189" s="338"/>
      <c r="O189" s="338"/>
      <c r="P189" s="338"/>
      <c r="Q189" s="338"/>
      <c r="R189" s="338"/>
      <c r="S189" s="338"/>
      <c r="T189" s="338"/>
      <c r="U189" s="338"/>
      <c r="V189" s="338"/>
      <c r="W189" s="338"/>
      <c r="X189" s="338"/>
      <c r="Y189" s="338"/>
      <c r="Z189" s="338"/>
      <c r="AA189" s="338"/>
      <c r="AB189" s="338"/>
      <c r="AC189" s="338"/>
      <c r="AD189" s="338"/>
      <c r="AE189" s="338"/>
      <c r="AF189" s="338"/>
      <c r="AG189" s="338"/>
      <c r="AH189" s="338"/>
      <c r="AI189" s="338"/>
      <c r="AJ189" s="338"/>
      <c r="AK189" s="338"/>
      <c r="AL189" s="338"/>
      <c r="AM189" s="338"/>
      <c r="AN189" s="338"/>
      <c r="AO189" s="338"/>
      <c r="AP189" s="338"/>
      <c r="AQ189" s="338"/>
      <c r="AR189" s="338"/>
      <c r="AS189" s="338"/>
      <c r="AT189" s="338"/>
      <c r="AU189" s="338"/>
      <c r="AV189" s="338"/>
      <c r="AW189" s="338"/>
      <c r="AX189" s="338"/>
      <c r="AY189" s="338"/>
      <c r="AZ189" s="338"/>
      <c r="BA189" s="338"/>
      <c r="BB189" s="338"/>
      <c r="BC189" s="338"/>
      <c r="BD189" s="341">
        <v>1</v>
      </c>
    </row>
    <row r="190" spans="1:56" ht="21" customHeight="1" x14ac:dyDescent="0.25">
      <c r="A190" s="338"/>
      <c r="B190" s="934"/>
      <c r="C190" s="938"/>
      <c r="D190" s="938"/>
      <c r="E190" s="938"/>
      <c r="F190" s="938"/>
      <c r="G190" s="938"/>
      <c r="H190" s="939"/>
      <c r="I190" s="338"/>
      <c r="J190" s="338"/>
      <c r="K190" s="338"/>
      <c r="L190" s="338"/>
      <c r="M190" s="338"/>
      <c r="N190" s="338"/>
      <c r="O190" s="338"/>
      <c r="P190" s="338"/>
      <c r="Q190" s="338"/>
      <c r="R190" s="338"/>
      <c r="S190" s="338"/>
      <c r="T190" s="338"/>
      <c r="U190" s="338"/>
      <c r="V190" s="338"/>
      <c r="W190" s="338"/>
      <c r="X190" s="338"/>
      <c r="Y190" s="338"/>
      <c r="Z190" s="338"/>
      <c r="AA190" s="338"/>
      <c r="AB190" s="338"/>
      <c r="AC190" s="338"/>
      <c r="AD190" s="338"/>
      <c r="AE190" s="338"/>
      <c r="AF190" s="338"/>
      <c r="AG190" s="338"/>
      <c r="AH190" s="338"/>
      <c r="AI190" s="338"/>
      <c r="AJ190" s="338"/>
      <c r="AK190" s="338"/>
      <c r="AL190" s="338"/>
      <c r="AM190" s="338"/>
      <c r="AN190" s="338"/>
      <c r="AO190" s="338"/>
      <c r="AP190" s="338"/>
      <c r="AQ190" s="338"/>
      <c r="AR190" s="338"/>
      <c r="AS190" s="338"/>
      <c r="AT190" s="338"/>
      <c r="AU190" s="338"/>
      <c r="AV190" s="338"/>
      <c r="AW190" s="338"/>
      <c r="AX190" s="338"/>
      <c r="AY190" s="338"/>
      <c r="AZ190" s="338"/>
      <c r="BA190" s="338"/>
      <c r="BB190" s="338"/>
      <c r="BC190" s="338"/>
      <c r="BD190" s="341">
        <v>1</v>
      </c>
    </row>
    <row r="191" spans="1:56" ht="21" customHeight="1" x14ac:dyDescent="0.25">
      <c r="A191" s="338"/>
      <c r="B191" s="934"/>
      <c r="C191" s="538" t="s">
        <v>4643</v>
      </c>
      <c r="D191" s="539"/>
      <c r="E191" s="539"/>
      <c r="F191" s="539"/>
      <c r="G191" s="539"/>
      <c r="H191" s="540"/>
      <c r="I191" s="338"/>
      <c r="J191" s="338"/>
      <c r="K191" s="338"/>
      <c r="L191" s="338"/>
      <c r="M191" s="338"/>
      <c r="N191" s="338"/>
      <c r="O191" s="338"/>
      <c r="P191" s="338"/>
      <c r="Q191" s="338"/>
      <c r="R191" s="338"/>
      <c r="S191" s="338"/>
      <c r="T191" s="338"/>
      <c r="U191" s="338"/>
      <c r="V191" s="338"/>
      <c r="W191" s="338"/>
      <c r="X191" s="338"/>
      <c r="Y191" s="338"/>
      <c r="Z191" s="338"/>
      <c r="AA191" s="338"/>
      <c r="AB191" s="338"/>
      <c r="AC191" s="338"/>
      <c r="AD191" s="338"/>
      <c r="AE191" s="338"/>
      <c r="AF191" s="338"/>
      <c r="AG191" s="338"/>
      <c r="AH191" s="338"/>
      <c r="AI191" s="338"/>
      <c r="AJ191" s="338"/>
      <c r="AK191" s="338"/>
      <c r="AL191" s="338"/>
      <c r="AM191" s="338"/>
      <c r="AN191" s="338"/>
      <c r="AO191" s="338"/>
      <c r="AP191" s="338"/>
      <c r="AQ191" s="338"/>
      <c r="AR191" s="338"/>
      <c r="AS191" s="338"/>
      <c r="AT191" s="338"/>
      <c r="AU191" s="338"/>
      <c r="AV191" s="338"/>
      <c r="AW191" s="338"/>
      <c r="AX191" s="338"/>
      <c r="AY191" s="338"/>
      <c r="AZ191" s="338"/>
      <c r="BA191" s="338"/>
      <c r="BB191" s="338"/>
      <c r="BC191" s="338"/>
      <c r="BD191" s="341">
        <v>1</v>
      </c>
    </row>
    <row r="192" spans="1:56" ht="21" customHeight="1" x14ac:dyDescent="0.25">
      <c r="A192" s="338"/>
      <c r="B192" s="934"/>
      <c r="C192" s="940" t="s">
        <v>4616</v>
      </c>
      <c r="D192" s="940"/>
      <c r="E192" s="940"/>
      <c r="F192" s="940"/>
      <c r="G192" s="940"/>
      <c r="H192" s="941"/>
      <c r="I192" s="338"/>
      <c r="J192" s="338"/>
      <c r="K192" s="338"/>
      <c r="L192" s="338"/>
      <c r="M192" s="338"/>
      <c r="N192" s="338"/>
      <c r="O192" s="338"/>
      <c r="P192" s="338"/>
      <c r="Q192" s="338"/>
      <c r="R192" s="338"/>
      <c r="S192" s="338"/>
      <c r="T192" s="338"/>
      <c r="U192" s="338"/>
      <c r="V192" s="338"/>
      <c r="W192" s="338"/>
      <c r="X192" s="338"/>
      <c r="Y192" s="338"/>
      <c r="Z192" s="338"/>
      <c r="AA192" s="338"/>
      <c r="AB192" s="338"/>
      <c r="AC192" s="338"/>
      <c r="AD192" s="338"/>
      <c r="AE192" s="338"/>
      <c r="AF192" s="338"/>
      <c r="AG192" s="338"/>
      <c r="AH192" s="338"/>
      <c r="AI192" s="338"/>
      <c r="AJ192" s="338"/>
      <c r="AK192" s="338"/>
      <c r="AL192" s="338"/>
      <c r="AM192" s="338"/>
      <c r="AN192" s="338"/>
      <c r="AO192" s="338"/>
      <c r="AP192" s="338"/>
      <c r="AQ192" s="338"/>
      <c r="AR192" s="338"/>
      <c r="AS192" s="338"/>
      <c r="AT192" s="338"/>
      <c r="AU192" s="338"/>
      <c r="AV192" s="338"/>
      <c r="AW192" s="338"/>
      <c r="AX192" s="338"/>
      <c r="AY192" s="338"/>
      <c r="AZ192" s="338"/>
      <c r="BA192" s="338"/>
      <c r="BB192" s="338"/>
      <c r="BC192" s="338"/>
      <c r="BD192" s="341">
        <v>1</v>
      </c>
    </row>
    <row r="193" spans="1:58" ht="21" customHeight="1" x14ac:dyDescent="0.25">
      <c r="A193" s="338"/>
      <c r="B193" s="934"/>
      <c r="C193" s="541" t="s">
        <v>4617</v>
      </c>
      <c r="D193" s="373"/>
      <c r="E193" s="373"/>
      <c r="F193" s="477" t="s">
        <v>4618</v>
      </c>
      <c r="G193" s="373"/>
      <c r="H193" s="503"/>
      <c r="I193" s="338"/>
      <c r="J193" s="338"/>
      <c r="K193" s="338"/>
      <c r="L193" s="338"/>
      <c r="M193" s="338"/>
      <c r="N193" s="338"/>
      <c r="O193" s="338"/>
      <c r="P193" s="338"/>
      <c r="Q193" s="338"/>
      <c r="R193" s="338"/>
      <c r="S193" s="338"/>
      <c r="T193" s="338"/>
      <c r="U193" s="338"/>
      <c r="V193" s="338"/>
      <c r="W193" s="338"/>
      <c r="X193" s="338"/>
      <c r="Y193" s="338"/>
      <c r="Z193" s="338"/>
      <c r="AA193" s="338"/>
      <c r="AB193" s="338"/>
      <c r="AC193" s="338"/>
      <c r="AD193" s="338"/>
      <c r="AE193" s="338"/>
      <c r="AF193" s="338"/>
      <c r="AG193" s="338"/>
      <c r="AH193" s="338"/>
      <c r="AI193" s="338"/>
      <c r="AJ193" s="338"/>
      <c r="AK193" s="338"/>
      <c r="AL193" s="338"/>
      <c r="AM193" s="338"/>
      <c r="AN193" s="338"/>
      <c r="AO193" s="338"/>
      <c r="AP193" s="338"/>
      <c r="AQ193" s="338"/>
      <c r="AR193" s="338"/>
      <c r="AS193" s="338"/>
      <c r="AT193" s="338"/>
      <c r="AU193" s="338"/>
      <c r="AV193" s="338"/>
      <c r="AW193" s="338"/>
      <c r="AX193" s="338"/>
      <c r="AY193" s="338"/>
      <c r="AZ193" s="338"/>
      <c r="BA193" s="338"/>
      <c r="BB193" s="338"/>
      <c r="BC193" s="338"/>
      <c r="BD193" s="341">
        <v>1</v>
      </c>
    </row>
    <row r="194" spans="1:58" ht="21" customHeight="1" x14ac:dyDescent="0.25">
      <c r="A194" s="338"/>
      <c r="B194" s="934"/>
      <c r="C194" s="542" t="s">
        <v>4604</v>
      </c>
      <c r="D194" s="373"/>
      <c r="E194" s="373"/>
      <c r="F194" s="543" t="s">
        <v>4619</v>
      </c>
      <c r="G194" s="373"/>
      <c r="H194" s="503"/>
      <c r="I194" s="338"/>
      <c r="J194" s="338"/>
      <c r="K194" s="338"/>
      <c r="L194" s="338"/>
      <c r="M194" s="338"/>
      <c r="N194" s="338"/>
      <c r="O194" s="338"/>
      <c r="P194" s="338"/>
      <c r="Q194" s="338"/>
      <c r="R194" s="338"/>
      <c r="S194" s="338"/>
      <c r="T194" s="338"/>
      <c r="U194" s="338"/>
      <c r="V194" s="338"/>
      <c r="W194" s="338"/>
      <c r="X194" s="338"/>
      <c r="Y194" s="338"/>
      <c r="Z194" s="338"/>
      <c r="AA194" s="338"/>
      <c r="AB194" s="338"/>
      <c r="AC194" s="338"/>
      <c r="AD194" s="338"/>
      <c r="AE194" s="338"/>
      <c r="AF194" s="338"/>
      <c r="AG194" s="338"/>
      <c r="AH194" s="338"/>
      <c r="AI194" s="338"/>
      <c r="AJ194" s="338"/>
      <c r="AK194" s="338"/>
      <c r="AL194" s="338"/>
      <c r="AM194" s="338"/>
      <c r="AN194" s="338"/>
      <c r="AO194" s="338"/>
      <c r="AP194" s="338"/>
      <c r="AQ194" s="338"/>
      <c r="AR194" s="338"/>
      <c r="AS194" s="338"/>
      <c r="AT194" s="338"/>
      <c r="AU194" s="338"/>
      <c r="AV194" s="338"/>
      <c r="AW194" s="338"/>
      <c r="AX194" s="338"/>
      <c r="AY194" s="338"/>
      <c r="AZ194" s="338"/>
      <c r="BA194" s="338"/>
      <c r="BB194" s="338"/>
      <c r="BC194" s="338"/>
      <c r="BD194" s="341">
        <v>1</v>
      </c>
    </row>
    <row r="195" spans="1:58" ht="21" customHeight="1" x14ac:dyDescent="0.25">
      <c r="A195" s="338"/>
      <c r="B195" s="934"/>
      <c r="C195" s="544" t="s">
        <v>4620</v>
      </c>
      <c r="D195" s="373"/>
      <c r="E195" s="373"/>
      <c r="F195" s="545" t="s">
        <v>4621</v>
      </c>
      <c r="G195" s="373"/>
      <c r="H195" s="503"/>
      <c r="I195" s="338"/>
      <c r="J195" s="338"/>
      <c r="K195" s="338"/>
      <c r="L195" s="338"/>
      <c r="M195" s="338"/>
      <c r="N195" s="338"/>
      <c r="O195" s="338"/>
      <c r="P195" s="338"/>
      <c r="Q195" s="338"/>
      <c r="R195" s="338"/>
      <c r="S195" s="338"/>
      <c r="T195" s="338"/>
      <c r="U195" s="338"/>
      <c r="V195" s="338"/>
      <c r="W195" s="338"/>
      <c r="X195" s="338"/>
      <c r="Y195" s="338"/>
      <c r="Z195" s="338"/>
      <c r="AA195" s="338"/>
      <c r="AB195" s="338"/>
      <c r="AC195" s="338"/>
      <c r="AD195" s="338"/>
      <c r="AE195" s="338"/>
      <c r="AF195" s="338"/>
      <c r="AG195" s="338"/>
      <c r="AH195" s="338"/>
      <c r="AI195" s="338"/>
      <c r="AJ195" s="338"/>
      <c r="AK195" s="338"/>
      <c r="AL195" s="338"/>
      <c r="AM195" s="338"/>
      <c r="AN195" s="338"/>
      <c r="AO195" s="338"/>
      <c r="AP195" s="338"/>
      <c r="AQ195" s="338"/>
      <c r="AR195" s="338"/>
      <c r="AS195" s="338"/>
      <c r="AT195" s="338"/>
      <c r="AU195" s="338"/>
      <c r="AV195" s="338"/>
      <c r="AW195" s="338"/>
      <c r="AX195" s="338"/>
      <c r="AY195" s="338"/>
      <c r="AZ195" s="338"/>
      <c r="BA195" s="338"/>
      <c r="BB195" s="338"/>
      <c r="BC195" s="338"/>
      <c r="BD195" s="341">
        <v>1</v>
      </c>
    </row>
    <row r="196" spans="1:58" ht="21" customHeight="1" x14ac:dyDescent="0.25">
      <c r="A196" s="338"/>
      <c r="B196" s="934"/>
      <c r="C196" s="477"/>
      <c r="D196" s="363"/>
      <c r="E196" s="514" t="s">
        <v>4640</v>
      </c>
      <c r="F196" s="546" t="s">
        <v>4644</v>
      </c>
      <c r="G196" s="373"/>
      <c r="H196" s="503"/>
      <c r="I196" s="338"/>
      <c r="J196" s="338"/>
      <c r="K196" s="338"/>
      <c r="L196" s="338"/>
      <c r="M196" s="338"/>
      <c r="N196" s="338"/>
      <c r="O196" s="338"/>
      <c r="P196" s="338"/>
      <c r="Q196" s="338"/>
      <c r="R196" s="338"/>
      <c r="S196" s="338"/>
      <c r="T196" s="338"/>
      <c r="U196" s="338"/>
      <c r="V196" s="338"/>
      <c r="W196" s="338"/>
      <c r="X196" s="338"/>
      <c r="Y196" s="338"/>
      <c r="Z196" s="338"/>
      <c r="AA196" s="338"/>
      <c r="AB196" s="338"/>
      <c r="AC196" s="338"/>
      <c r="AD196" s="338"/>
      <c r="AE196" s="338"/>
      <c r="AF196" s="338"/>
      <c r="AG196" s="338"/>
      <c r="AH196" s="338"/>
      <c r="AI196" s="338"/>
      <c r="AJ196" s="338"/>
      <c r="AK196" s="338"/>
      <c r="AL196" s="338"/>
      <c r="AM196" s="338"/>
      <c r="AN196" s="338"/>
      <c r="AO196" s="338"/>
      <c r="AP196" s="338"/>
      <c r="AQ196" s="338"/>
      <c r="AR196" s="338"/>
      <c r="AS196" s="338"/>
      <c r="AT196" s="338"/>
      <c r="AU196" s="338"/>
      <c r="AV196" s="338"/>
      <c r="AW196" s="338"/>
      <c r="AX196" s="338"/>
      <c r="AY196" s="338"/>
      <c r="AZ196" s="338"/>
      <c r="BA196" s="338"/>
      <c r="BB196" s="338"/>
      <c r="BC196" s="338"/>
      <c r="BD196" s="341">
        <v>1</v>
      </c>
    </row>
    <row r="197" spans="1:58" ht="21" customHeight="1" x14ac:dyDescent="0.25">
      <c r="A197" s="338"/>
      <c r="B197" s="934"/>
      <c r="C197" s="479"/>
      <c r="D197" s="363"/>
      <c r="E197" s="548" t="s">
        <v>4645</v>
      </c>
      <c r="F197" s="634" t="s">
        <v>4623</v>
      </c>
      <c r="G197" s="373"/>
      <c r="H197" s="503"/>
      <c r="I197" s="338"/>
      <c r="J197" s="338"/>
      <c r="K197" s="338"/>
      <c r="L197" s="338"/>
      <c r="M197" s="338"/>
      <c r="N197" s="338"/>
      <c r="O197" s="338"/>
      <c r="P197" s="338"/>
      <c r="Q197" s="338"/>
      <c r="R197" s="338"/>
      <c r="S197" s="338"/>
      <c r="T197" s="338"/>
      <c r="U197" s="338"/>
      <c r="V197" s="338"/>
      <c r="W197" s="338"/>
      <c r="X197" s="338"/>
      <c r="Y197" s="338"/>
      <c r="Z197" s="338"/>
      <c r="AA197" s="338"/>
      <c r="AB197" s="338"/>
      <c r="AC197" s="338"/>
      <c r="AD197" s="338"/>
      <c r="AE197" s="338"/>
      <c r="AF197" s="338"/>
      <c r="AG197" s="338"/>
      <c r="AH197" s="338"/>
      <c r="AI197" s="338"/>
      <c r="AJ197" s="338"/>
      <c r="AK197" s="338"/>
      <c r="AL197" s="338"/>
      <c r="AM197" s="338"/>
      <c r="AN197" s="338"/>
      <c r="AO197" s="338"/>
      <c r="AP197" s="338"/>
      <c r="AQ197" s="338"/>
      <c r="AR197" s="338"/>
      <c r="AS197" s="338"/>
      <c r="AT197" s="338"/>
      <c r="AU197" s="338"/>
      <c r="AV197" s="338"/>
      <c r="AW197" s="338"/>
      <c r="AX197" s="338"/>
      <c r="AY197" s="338"/>
      <c r="AZ197" s="338"/>
      <c r="BA197" s="338"/>
      <c r="BB197" s="338"/>
      <c r="BC197" s="338"/>
      <c r="BD197" s="341">
        <v>1</v>
      </c>
    </row>
    <row r="198" spans="1:58" ht="21" customHeight="1" x14ac:dyDescent="0.25">
      <c r="A198" s="338"/>
      <c r="B198" s="934"/>
      <c r="C198" s="479"/>
      <c r="D198" s="635" t="s">
        <v>4646</v>
      </c>
      <c r="E198" s="636" t="str">
        <f>ADDRESS(ROW(G177),COLUMN(G177),4)</f>
        <v>G177</v>
      </c>
      <c r="G198" s="373"/>
      <c r="H198" s="503"/>
      <c r="I198" s="338"/>
      <c r="J198" s="338"/>
      <c r="K198" s="338"/>
      <c r="L198" s="338"/>
      <c r="M198" s="338"/>
      <c r="N198" s="338"/>
      <c r="O198" s="338"/>
      <c r="P198" s="338"/>
      <c r="Q198" s="338"/>
      <c r="R198" s="338"/>
      <c r="S198" s="338"/>
      <c r="T198" s="338"/>
      <c r="U198" s="338"/>
      <c r="V198" s="338"/>
      <c r="W198" s="338"/>
      <c r="X198" s="338"/>
      <c r="Y198" s="338"/>
      <c r="Z198" s="338"/>
      <c r="AA198" s="338"/>
      <c r="AB198" s="338"/>
      <c r="AC198" s="338"/>
      <c r="AD198" s="338"/>
      <c r="AE198" s="338"/>
      <c r="AF198" s="338"/>
      <c r="AG198" s="338"/>
      <c r="AH198" s="338"/>
      <c r="AI198" s="338"/>
      <c r="AJ198" s="338"/>
      <c r="AK198" s="338"/>
      <c r="AL198" s="338"/>
      <c r="AM198" s="338"/>
      <c r="AN198" s="338"/>
      <c r="AO198" s="338"/>
      <c r="AP198" s="338"/>
      <c r="AQ198" s="338"/>
      <c r="AR198" s="338"/>
      <c r="AS198" s="338"/>
      <c r="AT198" s="338"/>
      <c r="AU198" s="338"/>
      <c r="AV198" s="338"/>
      <c r="AW198" s="338"/>
      <c r="AX198" s="338"/>
      <c r="AY198" s="338"/>
      <c r="AZ198" s="338"/>
      <c r="BA198" s="338"/>
      <c r="BB198" s="338"/>
      <c r="BC198" s="338"/>
      <c r="BD198" s="341">
        <v>1</v>
      </c>
    </row>
    <row r="199" spans="1:58" ht="21" customHeight="1" x14ac:dyDescent="0.25">
      <c r="A199" s="338"/>
      <c r="B199" s="934"/>
      <c r="C199" s="406" t="s">
        <v>4626</v>
      </c>
      <c r="D199" s="553"/>
      <c r="E199" s="551"/>
      <c r="F199" s="406" t="s">
        <v>4627</v>
      </c>
      <c r="G199" s="373"/>
      <c r="H199" s="503"/>
      <c r="I199" s="338"/>
      <c r="J199" s="338"/>
      <c r="K199" s="338"/>
      <c r="L199" s="338"/>
      <c r="M199" s="338"/>
      <c r="N199" s="338"/>
      <c r="O199" s="338"/>
      <c r="P199" s="338"/>
      <c r="Q199" s="338"/>
      <c r="R199" s="338"/>
      <c r="S199" s="338"/>
      <c r="T199" s="338"/>
      <c r="U199" s="338"/>
      <c r="V199" s="338"/>
      <c r="W199" s="338"/>
      <c r="X199" s="338"/>
      <c r="Y199" s="338"/>
      <c r="Z199" s="338"/>
      <c r="AA199" s="338"/>
      <c r="AB199" s="338"/>
      <c r="AC199" s="338"/>
      <c r="AD199" s="338"/>
      <c r="AE199" s="338"/>
      <c r="AF199" s="338"/>
      <c r="AG199" s="338"/>
      <c r="AH199" s="338"/>
      <c r="AI199" s="338"/>
      <c r="AJ199" s="338"/>
      <c r="AK199" s="338"/>
      <c r="AL199" s="338"/>
      <c r="AM199" s="338"/>
      <c r="AN199" s="338"/>
      <c r="AO199" s="338"/>
      <c r="AP199" s="338"/>
      <c r="AQ199" s="338"/>
      <c r="AR199" s="338"/>
      <c r="AS199" s="338"/>
      <c r="AT199" s="338"/>
      <c r="AU199" s="338"/>
      <c r="AV199" s="338"/>
      <c r="AW199" s="338"/>
      <c r="AX199" s="338"/>
      <c r="AY199" s="338"/>
      <c r="AZ199" s="338"/>
      <c r="BA199" s="338"/>
      <c r="BB199" s="338"/>
      <c r="BC199" s="338"/>
      <c r="BD199" s="341">
        <v>1</v>
      </c>
    </row>
    <row r="200" spans="1:58" ht="21" customHeight="1" x14ac:dyDescent="0.25">
      <c r="A200" s="338"/>
      <c r="B200" s="934"/>
      <c r="C200" s="409">
        <v>12</v>
      </c>
      <c r="D200" s="409">
        <v>11</v>
      </c>
      <c r="E200" s="409">
        <v>11</v>
      </c>
      <c r="F200" s="409">
        <v>11</v>
      </c>
      <c r="G200" s="409">
        <v>11</v>
      </c>
      <c r="H200" s="410">
        <v>11</v>
      </c>
      <c r="I200" s="411" t="s">
        <v>4529</v>
      </c>
      <c r="J200" s="338"/>
      <c r="K200" s="338"/>
      <c r="L200" s="338"/>
      <c r="M200" s="338"/>
      <c r="N200" s="338"/>
      <c r="O200" s="338"/>
      <c r="P200" s="338"/>
      <c r="Q200" s="338"/>
      <c r="R200" s="338"/>
      <c r="S200" s="338"/>
      <c r="T200" s="338"/>
      <c r="U200" s="338"/>
      <c r="V200" s="338"/>
      <c r="W200" s="338"/>
      <c r="X200" s="338"/>
      <c r="Y200" s="338"/>
      <c r="Z200" s="338"/>
      <c r="AA200" s="338"/>
      <c r="AB200" s="338"/>
      <c r="AC200" s="338"/>
      <c r="AD200" s="338"/>
      <c r="AE200" s="338"/>
      <c r="AF200" s="338"/>
      <c r="AG200" s="338"/>
      <c r="AH200" s="338"/>
      <c r="AI200" s="338"/>
      <c r="AJ200" s="338"/>
      <c r="AK200" s="338"/>
      <c r="AL200" s="338"/>
      <c r="AM200" s="338"/>
      <c r="AN200" s="338"/>
      <c r="AO200" s="338"/>
      <c r="AP200" s="338"/>
      <c r="AQ200" s="338"/>
      <c r="AR200" s="338"/>
      <c r="AS200" s="338"/>
      <c r="AT200" s="338"/>
      <c r="AU200" s="338"/>
      <c r="AV200" s="338"/>
      <c r="AW200" s="338"/>
      <c r="AX200" s="338"/>
      <c r="AY200" s="338"/>
      <c r="AZ200" s="338"/>
      <c r="BA200" s="338"/>
      <c r="BB200" s="338"/>
      <c r="BC200" s="338"/>
      <c r="BD200" s="341">
        <v>1</v>
      </c>
    </row>
    <row r="201" spans="1:58" ht="21" customHeight="1" thickBot="1" x14ac:dyDescent="0.3">
      <c r="A201" s="338"/>
      <c r="B201" s="935"/>
      <c r="C201" s="416">
        <f t="shared" ref="C201:H201" ca="1" si="10">INDEX(CELL("largeur",C201),1,1)</f>
        <v>13</v>
      </c>
      <c r="D201" s="416">
        <f t="shared" ca="1" si="10"/>
        <v>21</v>
      </c>
      <c r="E201" s="416">
        <f t="shared" ca="1" si="10"/>
        <v>13</v>
      </c>
      <c r="F201" s="416">
        <f t="shared" ca="1" si="10"/>
        <v>13</v>
      </c>
      <c r="G201" s="416">
        <f t="shared" ca="1" si="10"/>
        <v>13</v>
      </c>
      <c r="H201" s="417">
        <f t="shared" ca="1" si="10"/>
        <v>13</v>
      </c>
      <c r="I201" s="411" t="s">
        <v>4532</v>
      </c>
      <c r="J201" s="338"/>
      <c r="K201" s="338"/>
      <c r="L201" s="338"/>
      <c r="M201" s="338"/>
      <c r="N201" s="338"/>
      <c r="O201" s="338"/>
      <c r="P201" s="338"/>
      <c r="Q201" s="338"/>
      <c r="R201" s="338"/>
      <c r="S201" s="338"/>
      <c r="T201" s="338"/>
      <c r="U201" s="338"/>
      <c r="V201" s="338"/>
      <c r="W201" s="338"/>
      <c r="X201" s="338"/>
      <c r="Y201" s="338"/>
      <c r="Z201" s="338"/>
      <c r="AA201" s="338"/>
      <c r="AB201" s="338"/>
      <c r="AC201" s="338"/>
      <c r="AD201" s="338"/>
      <c r="AE201" s="338"/>
      <c r="AF201" s="338"/>
      <c r="AG201" s="338"/>
      <c r="AH201" s="338"/>
      <c r="AI201" s="338"/>
      <c r="AJ201" s="338"/>
      <c r="AK201" s="338"/>
      <c r="AL201" s="338"/>
      <c r="AM201" s="338"/>
      <c r="AN201" s="338"/>
      <c r="AO201" s="338"/>
      <c r="AP201" s="338"/>
      <c r="AQ201" s="338"/>
      <c r="AR201" s="338"/>
      <c r="AS201" s="338"/>
      <c r="AT201" s="338"/>
      <c r="AU201" s="338"/>
      <c r="AV201" s="338"/>
      <c r="AW201" s="338"/>
      <c r="AX201" s="338"/>
      <c r="AY201" s="338"/>
      <c r="AZ201" s="338"/>
      <c r="BA201" s="338"/>
      <c r="BB201" s="338"/>
      <c r="BC201" s="338"/>
      <c r="BD201" s="341">
        <v>1</v>
      </c>
    </row>
    <row r="202" spans="1:58" ht="21" customHeight="1" thickBot="1" x14ac:dyDescent="0.3">
      <c r="A202" s="338"/>
      <c r="B202" s="338"/>
      <c r="C202" s="338"/>
      <c r="D202" s="338"/>
      <c r="E202" s="338"/>
      <c r="F202" s="338"/>
      <c r="G202" s="338"/>
      <c r="H202" s="338"/>
      <c r="I202" s="338"/>
      <c r="J202" s="338"/>
      <c r="K202" s="338"/>
      <c r="L202" s="338"/>
      <c r="M202" s="338"/>
      <c r="N202" s="338"/>
      <c r="O202" s="338"/>
      <c r="P202" s="338"/>
      <c r="Q202" s="338"/>
      <c r="R202" s="338"/>
      <c r="S202" s="338"/>
      <c r="T202" s="338"/>
      <c r="U202" s="338"/>
      <c r="V202" s="338"/>
      <c r="W202" s="338"/>
      <c r="X202" s="338"/>
      <c r="Y202" s="338"/>
      <c r="Z202" s="338"/>
      <c r="AA202" s="338"/>
      <c r="AB202" s="338"/>
      <c r="AC202" s="338"/>
      <c r="AD202" s="338"/>
      <c r="AE202" s="338"/>
      <c r="AF202" s="338"/>
      <c r="AG202" s="338"/>
      <c r="AH202" s="338"/>
      <c r="AI202" s="338"/>
      <c r="AJ202" s="338"/>
      <c r="AK202" s="338"/>
      <c r="AL202" s="338"/>
      <c r="AM202" s="338"/>
      <c r="AN202" s="338"/>
      <c r="AO202" s="338"/>
      <c r="AP202" s="338"/>
      <c r="AQ202" s="338"/>
      <c r="AR202" s="338"/>
      <c r="AS202" s="338"/>
      <c r="AT202" s="338"/>
      <c r="AU202" s="338"/>
      <c r="AV202" s="338"/>
      <c r="AW202" s="338"/>
      <c r="AX202" s="338"/>
      <c r="AY202" s="338"/>
      <c r="AZ202" s="338"/>
      <c r="BA202" s="338"/>
      <c r="BB202" s="338"/>
      <c r="BC202" s="338"/>
      <c r="BD202" s="341">
        <v>1</v>
      </c>
    </row>
    <row r="203" spans="1:58" s="344" customFormat="1" ht="21" customHeight="1" x14ac:dyDescent="0.25">
      <c r="A203" s="338">
        <v>1</v>
      </c>
      <c r="B203" s="367" t="s">
        <v>4491</v>
      </c>
      <c r="C203" s="637"/>
      <c r="D203" s="638"/>
      <c r="E203" s="638"/>
      <c r="F203" s="638"/>
      <c r="G203" s="638"/>
      <c r="H203" s="639"/>
      <c r="I203" s="638"/>
      <c r="J203" s="638"/>
      <c r="K203" s="640" t="s">
        <v>4647</v>
      </c>
      <c r="L203" s="641" t="s">
        <v>4648</v>
      </c>
      <c r="M203" s="338"/>
      <c r="N203" s="338"/>
      <c r="O203" s="338"/>
      <c r="P203" s="338"/>
      <c r="Q203" s="338"/>
      <c r="R203" s="338"/>
      <c r="S203" s="338"/>
      <c r="T203" s="338"/>
      <c r="U203" s="338"/>
      <c r="V203" s="338"/>
      <c r="W203" s="338"/>
      <c r="X203" s="338"/>
      <c r="Y203" s="338"/>
      <c r="Z203" s="338"/>
      <c r="AA203" s="338"/>
      <c r="AB203" s="338"/>
      <c r="AC203" s="338"/>
      <c r="AD203" s="338"/>
      <c r="AE203" s="338"/>
      <c r="AF203" s="338"/>
      <c r="AG203" s="338"/>
      <c r="AH203" s="338"/>
      <c r="AI203" s="338"/>
      <c r="AJ203" s="338"/>
      <c r="AK203" s="338"/>
      <c r="AL203" s="338"/>
      <c r="AM203" s="338"/>
      <c r="AN203" s="338"/>
      <c r="AO203" s="338"/>
      <c r="AP203" s="338"/>
      <c r="AQ203" s="338"/>
      <c r="AR203" s="338"/>
      <c r="AS203" s="338"/>
      <c r="AT203" s="338"/>
      <c r="AU203" s="338"/>
      <c r="AV203" s="338"/>
      <c r="AW203" s="338"/>
      <c r="AX203" s="338"/>
      <c r="AY203" s="338"/>
      <c r="AZ203" s="338"/>
      <c r="BA203" s="338"/>
      <c r="BB203" s="338"/>
      <c r="BC203" s="338"/>
      <c r="BD203" s="341">
        <v>1</v>
      </c>
      <c r="BE203" s="364"/>
      <c r="BF203" s="364"/>
    </row>
    <row r="204" spans="1:58" s="344" customFormat="1" ht="21" customHeight="1" x14ac:dyDescent="0.25">
      <c r="A204" s="338">
        <v>1</v>
      </c>
      <c r="B204" s="905">
        <v>3</v>
      </c>
      <c r="C204" s="642" t="str">
        <f>ADDRESS(ROW(),COLUMN(),4)</f>
        <v>C204</v>
      </c>
      <c r="D204" s="643" t="s">
        <v>4649</v>
      </c>
      <c r="E204" s="644"/>
      <c r="F204" s="644"/>
      <c r="G204" s="644"/>
      <c r="H204" s="644"/>
      <c r="I204" s="644"/>
      <c r="J204" s="644"/>
      <c r="K204" s="645"/>
      <c r="L204" s="338">
        <v>1</v>
      </c>
      <c r="M204" s="338">
        <v>1</v>
      </c>
      <c r="N204" s="338"/>
      <c r="O204" s="338"/>
      <c r="P204" s="338"/>
      <c r="Q204" s="338"/>
      <c r="R204" s="338"/>
      <c r="S204" s="338"/>
      <c r="T204" s="338"/>
      <c r="U204" s="338"/>
      <c r="V204" s="338"/>
      <c r="W204" s="338"/>
      <c r="X204" s="338"/>
      <c r="Y204" s="338"/>
      <c r="Z204" s="338"/>
      <c r="AA204" s="338"/>
      <c r="AB204" s="338"/>
      <c r="AC204" s="338"/>
      <c r="AD204" s="338"/>
      <c r="AE204" s="338"/>
      <c r="AF204" s="338"/>
      <c r="AG204" s="338"/>
      <c r="AH204" s="338"/>
      <c r="AI204" s="338"/>
      <c r="AJ204" s="338"/>
      <c r="AK204" s="338"/>
      <c r="AL204" s="338"/>
      <c r="AM204" s="338"/>
      <c r="AN204" s="338"/>
      <c r="AO204" s="338"/>
      <c r="AP204" s="338"/>
      <c r="AQ204" s="338"/>
      <c r="AR204" s="338"/>
      <c r="AS204" s="338"/>
      <c r="AT204" s="338"/>
      <c r="AU204" s="338"/>
      <c r="AV204" s="338"/>
      <c r="AW204" s="338"/>
      <c r="AX204" s="338"/>
      <c r="AY204" s="338"/>
      <c r="AZ204" s="338"/>
      <c r="BA204" s="338"/>
      <c r="BB204" s="338"/>
      <c r="BC204" s="338"/>
      <c r="BD204" s="341">
        <v>1</v>
      </c>
      <c r="BE204" s="364"/>
      <c r="BF204" s="364"/>
    </row>
    <row r="205" spans="1:58" s="344" customFormat="1" ht="21" customHeight="1" x14ac:dyDescent="0.25">
      <c r="A205" s="338">
        <v>1</v>
      </c>
      <c r="B205" s="905"/>
      <c r="C205" s="646"/>
      <c r="D205" s="647" t="s">
        <v>4650</v>
      </c>
      <c r="E205" s="648">
        <v>0.44</v>
      </c>
      <c r="F205" s="649"/>
      <c r="G205" s="650" t="s">
        <v>4650</v>
      </c>
      <c r="H205" s="648">
        <v>100</v>
      </c>
      <c r="I205" s="649"/>
      <c r="J205" s="651" t="s">
        <v>4651</v>
      </c>
      <c r="K205" s="652">
        <v>115</v>
      </c>
      <c r="L205" s="369" t="s">
        <v>4588</v>
      </c>
      <c r="M205" s="338"/>
      <c r="N205" s="338"/>
      <c r="O205" s="338"/>
      <c r="P205" s="338"/>
      <c r="Q205" s="338"/>
      <c r="R205" s="338"/>
      <c r="S205" s="338"/>
      <c r="T205" s="338"/>
      <c r="U205" s="338"/>
      <c r="V205" s="338"/>
      <c r="W205" s="338"/>
      <c r="X205" s="338"/>
      <c r="Y205" s="338"/>
      <c r="Z205" s="338"/>
      <c r="AA205" s="338"/>
      <c r="AB205" s="338"/>
      <c r="AC205" s="338"/>
      <c r="AD205" s="338"/>
      <c r="AE205" s="338"/>
      <c r="AF205" s="338"/>
      <c r="AG205" s="338"/>
      <c r="AH205" s="338"/>
      <c r="AI205" s="338"/>
      <c r="AJ205" s="338"/>
      <c r="AK205" s="338"/>
      <c r="AL205" s="338"/>
      <c r="AM205" s="338"/>
      <c r="AN205" s="338"/>
      <c r="AO205" s="338"/>
      <c r="AP205" s="338"/>
      <c r="AQ205" s="338"/>
      <c r="AR205" s="338"/>
      <c r="AS205" s="338"/>
      <c r="AT205" s="338"/>
      <c r="AU205" s="338"/>
      <c r="AV205" s="338"/>
      <c r="AW205" s="338"/>
      <c r="AX205" s="338"/>
      <c r="AY205" s="338"/>
      <c r="AZ205" s="338"/>
      <c r="BA205" s="338"/>
      <c r="BB205" s="338"/>
      <c r="BC205" s="338"/>
      <c r="BD205" s="341">
        <v>1</v>
      </c>
      <c r="BE205" s="364"/>
      <c r="BF205" s="364"/>
    </row>
    <row r="206" spans="1:58" s="344" customFormat="1" ht="21" customHeight="1" x14ac:dyDescent="0.25">
      <c r="A206" s="338">
        <v>1</v>
      </c>
      <c r="B206" s="905"/>
      <c r="C206" s="653"/>
      <c r="D206" s="654" t="s">
        <v>4652</v>
      </c>
      <c r="E206" s="655">
        <v>60</v>
      </c>
      <c r="F206" s="649"/>
      <c r="G206" s="654" t="s">
        <v>4653</v>
      </c>
      <c r="H206" s="656">
        <v>10</v>
      </c>
      <c r="I206" s="649"/>
      <c r="J206" s="650" t="s">
        <v>4650</v>
      </c>
      <c r="K206" s="657">
        <v>133</v>
      </c>
      <c r="L206" s="369" t="s">
        <v>4591</v>
      </c>
      <c r="M206" s="338"/>
      <c r="N206" s="338"/>
      <c r="O206" s="338"/>
      <c r="P206" s="338"/>
      <c r="Q206" s="338"/>
      <c r="R206" s="338"/>
      <c r="S206" s="338"/>
      <c r="T206" s="338"/>
      <c r="U206" s="338"/>
      <c r="V206" s="338"/>
      <c r="W206" s="338"/>
      <c r="X206" s="338"/>
      <c r="Y206" s="338"/>
      <c r="Z206" s="338"/>
      <c r="AA206" s="338"/>
      <c r="AB206" s="338"/>
      <c r="AC206" s="338"/>
      <c r="AD206" s="338"/>
      <c r="AE206" s="338"/>
      <c r="AF206" s="338"/>
      <c r="AG206" s="338"/>
      <c r="AH206" s="338"/>
      <c r="AI206" s="338"/>
      <c r="AJ206" s="338"/>
      <c r="AK206" s="338"/>
      <c r="AL206" s="338"/>
      <c r="AM206" s="338"/>
      <c r="AN206" s="338"/>
      <c r="AO206" s="338"/>
      <c r="AP206" s="338"/>
      <c r="AQ206" s="338"/>
      <c r="AR206" s="338"/>
      <c r="AS206" s="338"/>
      <c r="AT206" s="338"/>
      <c r="AU206" s="338"/>
      <c r="AV206" s="338"/>
      <c r="AW206" s="338"/>
      <c r="AX206" s="338"/>
      <c r="AY206" s="338"/>
      <c r="AZ206" s="338"/>
      <c r="BA206" s="338"/>
      <c r="BB206" s="338"/>
      <c r="BC206" s="338"/>
      <c r="BD206" s="341">
        <v>1</v>
      </c>
      <c r="BE206" s="364"/>
      <c r="BF206" s="364"/>
    </row>
    <row r="207" spans="1:58" s="344" customFormat="1" ht="21" customHeight="1" x14ac:dyDescent="0.25">
      <c r="A207" s="338">
        <v>1</v>
      </c>
      <c r="B207" s="905"/>
      <c r="C207" s="658"/>
      <c r="D207" s="659" t="s">
        <v>4653</v>
      </c>
      <c r="E207" s="660">
        <f>E205*E206%</f>
        <v>0.26400000000000001</v>
      </c>
      <c r="F207" s="649"/>
      <c r="G207" s="661" t="s">
        <v>4651</v>
      </c>
      <c r="H207" s="660">
        <f>IF(H205=0,0,H205+H206)</f>
        <v>110</v>
      </c>
      <c r="I207" s="649"/>
      <c r="J207" s="659" t="s">
        <v>4653</v>
      </c>
      <c r="K207" s="662">
        <f>IF(K205=0,0,IF(K206=0,0,K205-K206))</f>
        <v>-18</v>
      </c>
      <c r="L207" s="580" t="str">
        <f>HYPERLINK("#"&amp;ADDRESS(ROW(K207),COLUMN(K207),4),"◀"&amp;ADDRESS(ROW(K207),COLUMN(K207),4))</f>
        <v>◀K207</v>
      </c>
      <c r="M207" s="435" t="str">
        <f ca="1">_xlfn.FORMULATEXT(K207)</f>
        <v>=SI(K205=0;0;SI(K206=0;0;K205-K206))</v>
      </c>
      <c r="N207" s="338"/>
      <c r="O207" s="338"/>
      <c r="P207" s="338"/>
      <c r="Q207" s="338"/>
      <c r="R207" s="338"/>
      <c r="S207" s="338"/>
      <c r="T207" s="338"/>
      <c r="U207" s="338"/>
      <c r="V207" s="338"/>
      <c r="W207" s="338"/>
      <c r="X207" s="338"/>
      <c r="Y207" s="338"/>
      <c r="Z207" s="338"/>
      <c r="AA207" s="338"/>
      <c r="AB207" s="338"/>
      <c r="AC207" s="338"/>
      <c r="AD207" s="338"/>
      <c r="AE207" s="338"/>
      <c r="AF207" s="338"/>
      <c r="AG207" s="338"/>
      <c r="AH207" s="338"/>
      <c r="AI207" s="338"/>
      <c r="AJ207" s="338"/>
      <c r="AK207" s="338"/>
      <c r="AL207" s="338"/>
      <c r="AM207" s="338"/>
      <c r="AN207" s="338"/>
      <c r="AO207" s="338"/>
      <c r="AP207" s="338"/>
      <c r="AQ207" s="338"/>
      <c r="AR207" s="338"/>
      <c r="AS207" s="338"/>
      <c r="AT207" s="338"/>
      <c r="AU207" s="338"/>
      <c r="AV207" s="338"/>
      <c r="AW207" s="338"/>
      <c r="AX207" s="338"/>
      <c r="AY207" s="338"/>
      <c r="AZ207" s="338"/>
      <c r="BA207" s="338"/>
      <c r="BB207" s="338"/>
      <c r="BC207" s="338"/>
      <c r="BD207" s="341">
        <v>1</v>
      </c>
      <c r="BE207" s="364"/>
      <c r="BF207" s="364"/>
    </row>
    <row r="208" spans="1:58" s="344" customFormat="1" ht="21" customHeight="1" x14ac:dyDescent="0.25">
      <c r="A208" s="338">
        <v>1</v>
      </c>
      <c r="B208" s="905"/>
      <c r="C208" s="663"/>
      <c r="D208" s="661" t="s">
        <v>4651</v>
      </c>
      <c r="E208" s="660">
        <f>((E205*E206)/100)+E205</f>
        <v>0.70399999999999996</v>
      </c>
      <c r="F208" s="649"/>
      <c r="G208" s="664" t="s">
        <v>4652</v>
      </c>
      <c r="H208" s="665">
        <f>IF(H205=0,0,IF(ISBLANK(H205),0,(H206/H205)*100))</f>
        <v>10</v>
      </c>
      <c r="I208" s="649"/>
      <c r="J208" s="664" t="s">
        <v>4652</v>
      </c>
      <c r="K208" s="666">
        <f>IF(K206=0,0,IF(ISBLANK(K206),0,(K207/K206)*100))</f>
        <v>-13.533834586466165</v>
      </c>
      <c r="L208" s="580" t="str">
        <f>HYPERLINK("#"&amp;ADDRESS(ROW(K208),COLUMN(K208),4),"◀"&amp;ADDRESS(ROW(K208),COLUMN(K208),4))</f>
        <v>◀K208</v>
      </c>
      <c r="M208" s="435" t="str">
        <f ca="1">_xlfn.FORMULATEXT(K208)</f>
        <v>=SI(K206=0;0;SI(ESTVIDE(K206);0;(K207/K206)*100))</v>
      </c>
      <c r="N208" s="338"/>
      <c r="O208" s="338"/>
      <c r="P208" s="338"/>
      <c r="Q208" s="338"/>
      <c r="R208" s="338"/>
      <c r="S208" s="338"/>
      <c r="T208" s="338"/>
      <c r="U208" s="338"/>
      <c r="V208" s="338"/>
      <c r="W208" s="338"/>
      <c r="X208" s="338"/>
      <c r="Y208" s="338"/>
      <c r="Z208" s="338"/>
      <c r="AA208" s="338"/>
      <c r="AB208" s="338"/>
      <c r="AC208" s="338"/>
      <c r="AD208" s="338"/>
      <c r="AE208" s="338"/>
      <c r="AF208" s="338"/>
      <c r="AG208" s="338"/>
      <c r="AH208" s="338"/>
      <c r="AI208" s="338"/>
      <c r="AJ208" s="338"/>
      <c r="AK208" s="338"/>
      <c r="AL208" s="338"/>
      <c r="AM208" s="338"/>
      <c r="AN208" s="338"/>
      <c r="AO208" s="338"/>
      <c r="AP208" s="338"/>
      <c r="AQ208" s="338"/>
      <c r="AR208" s="338"/>
      <c r="AS208" s="338"/>
      <c r="AT208" s="338"/>
      <c r="AU208" s="338"/>
      <c r="AV208" s="338"/>
      <c r="AW208" s="338"/>
      <c r="AX208" s="338"/>
      <c r="AY208" s="338"/>
      <c r="AZ208" s="338"/>
      <c r="BA208" s="338"/>
      <c r="BB208" s="338"/>
      <c r="BC208" s="338"/>
      <c r="BD208" s="341">
        <v>1</v>
      </c>
      <c r="BE208" s="364"/>
      <c r="BF208" s="364"/>
    </row>
    <row r="209" spans="1:58" s="344" customFormat="1" ht="21" customHeight="1" x14ac:dyDescent="0.25">
      <c r="A209" s="338">
        <v>1</v>
      </c>
      <c r="B209" s="905"/>
      <c r="C209" s="667"/>
      <c r="D209" s="668"/>
      <c r="E209" s="669"/>
      <c r="F209" s="670"/>
      <c r="G209" s="671"/>
      <c r="H209" s="672"/>
      <c r="I209" s="670"/>
      <c r="J209" s="671"/>
      <c r="K209" s="673"/>
      <c r="L209" s="338">
        <v>1</v>
      </c>
      <c r="M209" s="338">
        <v>1</v>
      </c>
      <c r="N209" s="338"/>
      <c r="O209" s="338"/>
      <c r="P209" s="338"/>
      <c r="Q209" s="338"/>
      <c r="R209" s="338"/>
      <c r="S209" s="338"/>
      <c r="T209" s="338"/>
      <c r="U209" s="338"/>
      <c r="V209" s="338"/>
      <c r="W209" s="338"/>
      <c r="X209" s="338"/>
      <c r="Y209" s="338"/>
      <c r="Z209" s="338"/>
      <c r="AA209" s="338"/>
      <c r="AB209" s="338"/>
      <c r="AC209" s="338"/>
      <c r="AD209" s="338"/>
      <c r="AE209" s="338"/>
      <c r="AF209" s="338"/>
      <c r="AG209" s="338"/>
      <c r="AH209" s="338"/>
      <c r="AI209" s="338"/>
      <c r="AJ209" s="338"/>
      <c r="AK209" s="338"/>
      <c r="AL209" s="338"/>
      <c r="AM209" s="338"/>
      <c r="AN209" s="338"/>
      <c r="AO209" s="338"/>
      <c r="AP209" s="338"/>
      <c r="AQ209" s="338"/>
      <c r="AR209" s="338"/>
      <c r="AS209" s="338"/>
      <c r="AT209" s="338"/>
      <c r="AU209" s="338"/>
      <c r="AV209" s="338"/>
      <c r="AW209" s="338"/>
      <c r="AX209" s="338"/>
      <c r="AY209" s="338"/>
      <c r="AZ209" s="338"/>
      <c r="BA209" s="338"/>
      <c r="BB209" s="338"/>
      <c r="BC209" s="338"/>
      <c r="BD209" s="341">
        <v>1</v>
      </c>
      <c r="BE209" s="364"/>
      <c r="BF209" s="364"/>
    </row>
    <row r="210" spans="1:58" s="344" customFormat="1" ht="21" customHeight="1" x14ac:dyDescent="0.25">
      <c r="A210" s="338">
        <v>1</v>
      </c>
      <c r="B210" s="905"/>
      <c r="C210" s="646"/>
      <c r="D210" s="650" t="s">
        <v>4650</v>
      </c>
      <c r="E210" s="648">
        <v>5.8970000000000002</v>
      </c>
      <c r="F210" s="649"/>
      <c r="G210" s="651" t="s">
        <v>4651</v>
      </c>
      <c r="H210" s="656">
        <v>9.64</v>
      </c>
      <c r="I210" s="649"/>
      <c r="J210" s="651" t="s">
        <v>4651</v>
      </c>
      <c r="K210" s="652">
        <v>100</v>
      </c>
      <c r="L210" s="338">
        <v>1</v>
      </c>
      <c r="M210" s="338">
        <v>1</v>
      </c>
      <c r="N210" s="338"/>
      <c r="O210" s="338"/>
      <c r="P210" s="338"/>
      <c r="Q210" s="338"/>
      <c r="R210" s="338"/>
      <c r="S210" s="338"/>
      <c r="T210" s="338"/>
      <c r="U210" s="338"/>
      <c r="V210" s="338"/>
      <c r="W210" s="338"/>
      <c r="X210" s="338"/>
      <c r="Y210" s="338"/>
      <c r="Z210" s="338"/>
      <c r="AA210" s="338"/>
      <c r="AB210" s="338"/>
      <c r="AC210" s="338"/>
      <c r="AD210" s="338"/>
      <c r="AE210" s="338"/>
      <c r="AF210" s="338"/>
      <c r="AG210" s="338"/>
      <c r="AH210" s="338"/>
      <c r="AI210" s="338"/>
      <c r="AJ210" s="338"/>
      <c r="AK210" s="338"/>
      <c r="AL210" s="338"/>
      <c r="AM210" s="338"/>
      <c r="AN210" s="338"/>
      <c r="AO210" s="338"/>
      <c r="AP210" s="338"/>
      <c r="AQ210" s="338"/>
      <c r="AR210" s="338"/>
      <c r="AS210" s="338"/>
      <c r="AT210" s="338"/>
      <c r="AU210" s="338"/>
      <c r="AV210" s="338"/>
      <c r="AW210" s="338"/>
      <c r="AX210" s="338"/>
      <c r="AY210" s="338"/>
      <c r="AZ210" s="338"/>
      <c r="BA210" s="338"/>
      <c r="BB210" s="338"/>
      <c r="BC210" s="338"/>
      <c r="BD210" s="341">
        <v>1</v>
      </c>
      <c r="BE210" s="364"/>
      <c r="BF210" s="364"/>
    </row>
    <row r="211" spans="1:58" s="344" customFormat="1" ht="21" customHeight="1" x14ac:dyDescent="0.25">
      <c r="A211" s="338">
        <v>1</v>
      </c>
      <c r="B211" s="905"/>
      <c r="C211" s="674"/>
      <c r="D211" s="651" t="s">
        <v>4651</v>
      </c>
      <c r="E211" s="656">
        <v>9.64</v>
      </c>
      <c r="F211" s="649"/>
      <c r="G211" s="654" t="s">
        <v>4652</v>
      </c>
      <c r="H211" s="675">
        <v>63.5</v>
      </c>
      <c r="I211" s="649"/>
      <c r="J211" s="654" t="s">
        <v>4653</v>
      </c>
      <c r="K211" s="652">
        <v>50</v>
      </c>
      <c r="L211" s="338">
        <v>1</v>
      </c>
      <c r="M211" s="338">
        <v>1</v>
      </c>
      <c r="N211" s="338"/>
      <c r="O211" s="338"/>
      <c r="P211" s="338"/>
      <c r="Q211" s="338"/>
      <c r="R211" s="338"/>
      <c r="S211" s="338"/>
      <c r="T211" s="338"/>
      <c r="U211" s="338"/>
      <c r="V211" s="338"/>
      <c r="W211" s="338"/>
      <c r="X211" s="338"/>
      <c r="Y211" s="338"/>
      <c r="Z211" s="338"/>
      <c r="AA211" s="338"/>
      <c r="AB211" s="338"/>
      <c r="AC211" s="338"/>
      <c r="AD211" s="338"/>
      <c r="AE211" s="338"/>
      <c r="AF211" s="338"/>
      <c r="AG211" s="338"/>
      <c r="AH211" s="338"/>
      <c r="AI211" s="338"/>
      <c r="AJ211" s="338"/>
      <c r="AK211" s="338"/>
      <c r="AL211" s="338"/>
      <c r="AM211" s="338"/>
      <c r="AN211" s="338"/>
      <c r="AO211" s="338"/>
      <c r="AP211" s="338"/>
      <c r="AQ211" s="338"/>
      <c r="AR211" s="338"/>
      <c r="AS211" s="338"/>
      <c r="AT211" s="338"/>
      <c r="AU211" s="338"/>
      <c r="AV211" s="338"/>
      <c r="AW211" s="338"/>
      <c r="AX211" s="338"/>
      <c r="AY211" s="338"/>
      <c r="AZ211" s="338"/>
      <c r="BA211" s="338"/>
      <c r="BB211" s="338"/>
      <c r="BC211" s="338"/>
      <c r="BD211" s="341">
        <v>1</v>
      </c>
      <c r="BE211" s="364"/>
      <c r="BF211" s="364"/>
    </row>
    <row r="212" spans="1:58" s="344" customFormat="1" ht="21" customHeight="1" x14ac:dyDescent="0.25">
      <c r="A212" s="338">
        <v>1</v>
      </c>
      <c r="B212" s="905"/>
      <c r="C212" s="658"/>
      <c r="D212" s="659" t="s">
        <v>4653</v>
      </c>
      <c r="E212" s="660">
        <f>IF(E210=0,0,IF(E211=0,0,E211-E210))</f>
        <v>3.7430000000000003</v>
      </c>
      <c r="F212" s="649"/>
      <c r="G212" s="659" t="s">
        <v>4653</v>
      </c>
      <c r="H212" s="660">
        <f>H210-H213</f>
        <v>3.7439755351681958</v>
      </c>
      <c r="I212" s="649"/>
      <c r="J212" s="661" t="s">
        <v>4650</v>
      </c>
      <c r="K212" s="662">
        <f>IF(K210=0,0,IF(ISBLANK(K210),0,K210-K211))</f>
        <v>50</v>
      </c>
      <c r="L212" s="580" t="str">
        <f>HYPERLINK("#"&amp;ADDRESS(ROW(E212),COLUMN(E212),4),"◀"&amp;ADDRESS(ROW(E212),COLUMN(E212),4))</f>
        <v>◀E212</v>
      </c>
      <c r="M212" s="435" t="str">
        <f ca="1">_xlfn.FORMULATEXT(E212)</f>
        <v>=SI(E210=0;0;SI(E211=0;0;E211-E210))</v>
      </c>
      <c r="N212" s="338"/>
      <c r="O212" s="338"/>
      <c r="P212" s="338"/>
      <c r="Q212" s="338"/>
      <c r="R212" s="338"/>
      <c r="S212" s="338"/>
      <c r="T212" s="338"/>
      <c r="U212" s="338"/>
      <c r="V212" s="338"/>
      <c r="W212" s="338"/>
      <c r="X212" s="338"/>
      <c r="Y212" s="338"/>
      <c r="Z212" s="338"/>
      <c r="AA212" s="338"/>
      <c r="AB212" s="338"/>
      <c r="AC212" s="338"/>
      <c r="AD212" s="338"/>
      <c r="AE212" s="338"/>
      <c r="AF212" s="338"/>
      <c r="AG212" s="338"/>
      <c r="AH212" s="338"/>
      <c r="AI212" s="338"/>
      <c r="AJ212" s="338"/>
      <c r="AK212" s="338"/>
      <c r="AL212" s="338"/>
      <c r="AM212" s="338"/>
      <c r="AN212" s="338"/>
      <c r="AO212" s="338"/>
      <c r="AP212" s="338"/>
      <c r="AQ212" s="338"/>
      <c r="AR212" s="338"/>
      <c r="AS212" s="338"/>
      <c r="AT212" s="338"/>
      <c r="AU212" s="338"/>
      <c r="AV212" s="338"/>
      <c r="AW212" s="338"/>
      <c r="AX212" s="338"/>
      <c r="AY212" s="338"/>
      <c r="AZ212" s="338"/>
      <c r="BA212" s="338"/>
      <c r="BB212" s="338"/>
      <c r="BC212" s="338"/>
      <c r="BD212" s="341">
        <v>1</v>
      </c>
      <c r="BE212" s="364"/>
      <c r="BF212" s="364"/>
    </row>
    <row r="213" spans="1:58" s="344" customFormat="1" ht="21" customHeight="1" x14ac:dyDescent="0.25">
      <c r="A213" s="338">
        <v>1</v>
      </c>
      <c r="B213" s="905"/>
      <c r="C213" s="676"/>
      <c r="D213" s="677" t="s">
        <v>4652</v>
      </c>
      <c r="E213" s="678">
        <f>IF(E210=0,0,IF(ISBLANK(E210),0,(E212/E210)*100))</f>
        <v>63.472952348651859</v>
      </c>
      <c r="F213" s="649"/>
      <c r="G213" s="679" t="s">
        <v>4650</v>
      </c>
      <c r="H213" s="680">
        <f>(H210/(100+H211)*100)</f>
        <v>5.8960244648318048</v>
      </c>
      <c r="I213" s="649"/>
      <c r="J213" s="677" t="s">
        <v>4652</v>
      </c>
      <c r="K213" s="681">
        <f>IF(K212=0,0,IF(ISBLANK(K211),0,(K211/K212)*100))</f>
        <v>100</v>
      </c>
      <c r="L213" s="580" t="str">
        <f>HYPERLINK("#"&amp;ADDRESS(ROW(E213),COLUMN(E213),4),"◀"&amp;ADDRESS(ROW(E213),COLUMN(E213),4))</f>
        <v>◀E213</v>
      </c>
      <c r="M213" s="435" t="str">
        <f ca="1">_xlfn.FORMULATEXT(E213)</f>
        <v>=SI(E210=0;0;SI(ESTVIDE(E210);0;(E212/E210)*100))</v>
      </c>
      <c r="N213" s="338"/>
      <c r="O213" s="338"/>
      <c r="P213" s="338"/>
      <c r="Q213" s="338"/>
      <c r="R213" s="338"/>
      <c r="S213" s="338"/>
      <c r="T213" s="338"/>
      <c r="U213" s="338"/>
      <c r="V213" s="338"/>
      <c r="W213" s="338"/>
      <c r="X213" s="338"/>
      <c r="Y213" s="338"/>
      <c r="Z213" s="338"/>
      <c r="AA213" s="338"/>
      <c r="AB213" s="338"/>
      <c r="AC213" s="338"/>
      <c r="AD213" s="338"/>
      <c r="AE213" s="338"/>
      <c r="AF213" s="338"/>
      <c r="AG213" s="338"/>
      <c r="AH213" s="338"/>
      <c r="AI213" s="338"/>
      <c r="AJ213" s="338"/>
      <c r="AK213" s="338"/>
      <c r="AL213" s="338"/>
      <c r="AM213" s="338"/>
      <c r="AN213" s="338"/>
      <c r="AO213" s="338"/>
      <c r="AP213" s="338"/>
      <c r="AQ213" s="338"/>
      <c r="AR213" s="338"/>
      <c r="AS213" s="338"/>
      <c r="AT213" s="338"/>
      <c r="AU213" s="338"/>
      <c r="AV213" s="338"/>
      <c r="AW213" s="338"/>
      <c r="AX213" s="338"/>
      <c r="AY213" s="338"/>
      <c r="AZ213" s="338"/>
      <c r="BA213" s="338"/>
      <c r="BB213" s="338"/>
      <c r="BC213" s="338"/>
      <c r="BD213" s="341">
        <v>1</v>
      </c>
    </row>
    <row r="214" spans="1:58" s="344" customFormat="1" ht="21" customHeight="1" x14ac:dyDescent="0.25">
      <c r="A214" s="338">
        <v>1</v>
      </c>
      <c r="B214" s="905"/>
      <c r="C214" s="942" t="s">
        <v>4654</v>
      </c>
      <c r="D214" s="942"/>
      <c r="E214" s="942"/>
      <c r="F214" s="942"/>
      <c r="G214" s="942"/>
      <c r="H214" s="942"/>
      <c r="I214" s="942"/>
      <c r="J214" s="942"/>
      <c r="K214" s="943"/>
      <c r="L214" s="338">
        <v>1</v>
      </c>
      <c r="M214" s="338">
        <v>1</v>
      </c>
      <c r="N214" s="338"/>
      <c r="O214" s="338"/>
      <c r="P214" s="338"/>
      <c r="Q214" s="338"/>
      <c r="R214" s="338"/>
      <c r="S214" s="338"/>
      <c r="T214" s="338"/>
      <c r="U214" s="338"/>
      <c r="V214" s="338"/>
      <c r="W214" s="338"/>
      <c r="X214" s="338"/>
      <c r="Y214" s="338"/>
      <c r="Z214" s="338"/>
      <c r="AA214" s="338"/>
      <c r="AB214" s="338"/>
      <c r="AC214" s="338"/>
      <c r="AD214" s="338"/>
      <c r="AE214" s="338"/>
      <c r="AF214" s="338"/>
      <c r="AG214" s="338"/>
      <c r="AH214" s="338"/>
      <c r="AI214" s="338"/>
      <c r="AJ214" s="338"/>
      <c r="AK214" s="338"/>
      <c r="AL214" s="338"/>
      <c r="AM214" s="338"/>
      <c r="AN214" s="338"/>
      <c r="AO214" s="338"/>
      <c r="AP214" s="338"/>
      <c r="AQ214" s="338"/>
      <c r="AR214" s="338"/>
      <c r="AS214" s="338"/>
      <c r="AT214" s="338"/>
      <c r="AU214" s="338"/>
      <c r="AV214" s="338"/>
      <c r="AW214" s="338"/>
      <c r="AX214" s="338"/>
      <c r="AY214" s="338"/>
      <c r="AZ214" s="338"/>
      <c r="BA214" s="338"/>
      <c r="BB214" s="338"/>
      <c r="BC214" s="338"/>
      <c r="BD214" s="341">
        <v>1</v>
      </c>
    </row>
    <row r="215" spans="1:58" s="344" customFormat="1" ht="21" customHeight="1" x14ac:dyDescent="0.25">
      <c r="A215" s="338"/>
      <c r="B215" s="905"/>
      <c r="C215" s="409">
        <v>12</v>
      </c>
      <c r="D215" s="409">
        <v>11</v>
      </c>
      <c r="E215" s="409">
        <v>11</v>
      </c>
      <c r="F215" s="409">
        <v>11</v>
      </c>
      <c r="G215" s="409">
        <v>11</v>
      </c>
      <c r="H215" s="409">
        <v>11</v>
      </c>
      <c r="I215" s="409">
        <v>11</v>
      </c>
      <c r="J215" s="409">
        <v>11</v>
      </c>
      <c r="K215" s="410">
        <v>11</v>
      </c>
      <c r="L215" s="411" t="s">
        <v>4529</v>
      </c>
      <c r="M215" s="338"/>
      <c r="N215" s="338"/>
      <c r="O215" s="338"/>
      <c r="P215" s="338"/>
      <c r="Q215" s="338"/>
      <c r="R215" s="338"/>
      <c r="S215" s="338"/>
      <c r="T215" s="338"/>
      <c r="U215" s="338"/>
      <c r="V215" s="338"/>
      <c r="W215" s="338"/>
      <c r="X215" s="338"/>
      <c r="Y215" s="338"/>
      <c r="Z215" s="338"/>
      <c r="AA215" s="338"/>
      <c r="AB215" s="338"/>
      <c r="AC215" s="338"/>
      <c r="AD215" s="338"/>
      <c r="AE215" s="338"/>
      <c r="AF215" s="338"/>
      <c r="AG215" s="338"/>
      <c r="AH215" s="338"/>
      <c r="AI215" s="338"/>
      <c r="AJ215" s="338"/>
      <c r="AK215" s="338"/>
      <c r="AL215" s="338"/>
      <c r="AM215" s="338"/>
      <c r="AN215" s="338"/>
      <c r="AO215" s="338"/>
      <c r="AP215" s="338"/>
      <c r="AQ215" s="338"/>
      <c r="AR215" s="338"/>
      <c r="AS215" s="338"/>
      <c r="AT215" s="338"/>
      <c r="AU215" s="338"/>
      <c r="AV215" s="338"/>
      <c r="AW215" s="338"/>
      <c r="AX215" s="338"/>
      <c r="AY215" s="338"/>
      <c r="AZ215" s="338"/>
      <c r="BA215" s="338"/>
      <c r="BB215" s="338"/>
      <c r="BC215" s="338"/>
      <c r="BD215" s="341">
        <v>1</v>
      </c>
    </row>
    <row r="216" spans="1:58" s="344" customFormat="1" ht="21" customHeight="1" thickBot="1" x14ac:dyDescent="0.3">
      <c r="A216" s="338"/>
      <c r="B216" s="906"/>
      <c r="C216" s="416">
        <f t="shared" ref="C216:K216" ca="1" si="11">INDEX(CELL("largeur",C216),1,1)</f>
        <v>13</v>
      </c>
      <c r="D216" s="416">
        <f t="shared" ca="1" si="11"/>
        <v>21</v>
      </c>
      <c r="E216" s="416">
        <f t="shared" ca="1" si="11"/>
        <v>13</v>
      </c>
      <c r="F216" s="416">
        <f t="shared" ca="1" si="11"/>
        <v>13</v>
      </c>
      <c r="G216" s="416">
        <f t="shared" ca="1" si="11"/>
        <v>13</v>
      </c>
      <c r="H216" s="416">
        <f t="shared" ca="1" si="11"/>
        <v>13</v>
      </c>
      <c r="I216" s="416">
        <f t="shared" ca="1" si="11"/>
        <v>16</v>
      </c>
      <c r="J216" s="416">
        <f t="shared" ca="1" si="11"/>
        <v>18</v>
      </c>
      <c r="K216" s="417">
        <f t="shared" ca="1" si="11"/>
        <v>16</v>
      </c>
      <c r="L216" s="411" t="s">
        <v>4532</v>
      </c>
      <c r="M216" s="338"/>
      <c r="N216" s="338"/>
      <c r="O216" s="338"/>
      <c r="P216" s="338"/>
      <c r="Q216" s="338"/>
      <c r="R216" s="338"/>
      <c r="S216" s="338"/>
      <c r="T216" s="338"/>
      <c r="U216" s="338"/>
      <c r="V216" s="338"/>
      <c r="W216" s="338"/>
      <c r="X216" s="338"/>
      <c r="Y216" s="338"/>
      <c r="Z216" s="338"/>
      <c r="AA216" s="338"/>
      <c r="AB216" s="338"/>
      <c r="AC216" s="338"/>
      <c r="AD216" s="338"/>
      <c r="AE216" s="338"/>
      <c r="AF216" s="338"/>
      <c r="AG216" s="338"/>
      <c r="AH216" s="338"/>
      <c r="AI216" s="338"/>
      <c r="AJ216" s="338"/>
      <c r="AK216" s="338"/>
      <c r="AL216" s="338"/>
      <c r="AM216" s="338"/>
      <c r="AN216" s="338"/>
      <c r="AO216" s="338"/>
      <c r="AP216" s="338"/>
      <c r="AQ216" s="338"/>
      <c r="AR216" s="338"/>
      <c r="AS216" s="338"/>
      <c r="AT216" s="338"/>
      <c r="AU216" s="338"/>
      <c r="AV216" s="338"/>
      <c r="AW216" s="338"/>
      <c r="AX216" s="338"/>
      <c r="AY216" s="338"/>
      <c r="AZ216" s="338"/>
      <c r="BA216" s="338"/>
      <c r="BB216" s="338"/>
      <c r="BC216" s="338"/>
      <c r="BD216" s="341">
        <v>1</v>
      </c>
    </row>
    <row r="217" spans="1:58" s="344" customFormat="1" ht="21" customHeight="1" thickBot="1" x14ac:dyDescent="0.3">
      <c r="A217" s="411"/>
      <c r="B217" s="411"/>
      <c r="C217" s="411"/>
      <c r="D217" s="411"/>
      <c r="E217" s="411"/>
      <c r="F217" s="411"/>
      <c r="G217" s="411"/>
      <c r="H217" s="411"/>
      <c r="I217" s="411"/>
      <c r="J217" s="411"/>
      <c r="K217" s="411"/>
      <c r="L217" s="338"/>
      <c r="M217" s="338">
        <v>1</v>
      </c>
      <c r="N217" s="338"/>
      <c r="O217" s="338"/>
      <c r="P217" s="338"/>
      <c r="Q217" s="338"/>
      <c r="R217" s="338"/>
      <c r="S217" s="338"/>
      <c r="T217" s="338"/>
      <c r="U217" s="338"/>
      <c r="V217" s="338"/>
      <c r="W217" s="338"/>
      <c r="X217" s="338"/>
      <c r="Y217" s="338"/>
      <c r="Z217" s="338"/>
      <c r="AA217" s="338"/>
      <c r="AB217" s="338"/>
      <c r="AC217" s="338"/>
      <c r="AD217" s="338"/>
      <c r="AE217" s="338"/>
      <c r="AF217" s="338"/>
      <c r="AG217" s="338"/>
      <c r="AH217" s="338"/>
      <c r="AI217" s="338"/>
      <c r="AJ217" s="338"/>
      <c r="AK217" s="338"/>
      <c r="AL217" s="338"/>
      <c r="AM217" s="338"/>
      <c r="AN217" s="338"/>
      <c r="AO217" s="338"/>
      <c r="AP217" s="338"/>
      <c r="AQ217" s="338"/>
      <c r="AR217" s="338"/>
      <c r="AS217" s="338"/>
      <c r="AT217" s="338"/>
      <c r="AU217" s="338"/>
      <c r="AV217" s="338"/>
      <c r="AW217" s="338"/>
      <c r="AX217" s="338"/>
      <c r="AY217" s="338"/>
      <c r="AZ217" s="338"/>
      <c r="BA217" s="338"/>
      <c r="BB217" s="338"/>
      <c r="BC217" s="338"/>
      <c r="BD217" s="341">
        <v>1</v>
      </c>
    </row>
    <row r="218" spans="1:58" s="344" customFormat="1" ht="21" customHeight="1" x14ac:dyDescent="0.25">
      <c r="A218" s="338"/>
      <c r="B218" s="367" t="s">
        <v>4491</v>
      </c>
      <c r="C218" s="682" t="s">
        <v>4655</v>
      </c>
      <c r="D218" s="683"/>
      <c r="E218" s="683"/>
      <c r="F218" s="683"/>
      <c r="G218" s="683"/>
      <c r="H218" s="683"/>
      <c r="I218" s="683"/>
      <c r="J218" s="683"/>
      <c r="K218" s="684" t="s">
        <v>4656</v>
      </c>
      <c r="L218" s="338"/>
      <c r="M218" s="367" t="s">
        <v>4491</v>
      </c>
      <c r="N218" s="903" t="s">
        <v>4657</v>
      </c>
      <c r="O218" s="903"/>
      <c r="P218" s="903"/>
      <c r="Q218" s="903"/>
      <c r="R218" s="903"/>
      <c r="S218" s="903"/>
      <c r="T218" s="904"/>
      <c r="U218" s="338"/>
      <c r="V218" s="338"/>
      <c r="W218" s="338"/>
      <c r="X218" s="338"/>
      <c r="Y218" s="338"/>
      <c r="Z218" s="338"/>
      <c r="AA218" s="338"/>
      <c r="AB218" s="338"/>
      <c r="AC218" s="338"/>
      <c r="AD218" s="338"/>
      <c r="AE218" s="338"/>
      <c r="AF218" s="338"/>
      <c r="AG218" s="338"/>
      <c r="AH218" s="338"/>
      <c r="AI218" s="338"/>
      <c r="AJ218" s="338"/>
      <c r="AK218" s="338"/>
      <c r="AL218" s="338"/>
      <c r="AM218" s="338"/>
      <c r="AN218" s="338"/>
      <c r="AO218" s="338"/>
      <c r="AP218" s="338"/>
      <c r="AQ218" s="338"/>
      <c r="AR218" s="338"/>
      <c r="AS218" s="338"/>
      <c r="AT218" s="338"/>
      <c r="AU218" s="338"/>
      <c r="AV218" s="338"/>
      <c r="AW218" s="338"/>
      <c r="AX218" s="338"/>
      <c r="AY218" s="338"/>
      <c r="AZ218" s="338"/>
      <c r="BA218" s="338"/>
      <c r="BB218" s="338"/>
      <c r="BC218" s="338"/>
      <c r="BD218" s="341">
        <v>1</v>
      </c>
    </row>
    <row r="219" spans="1:58" s="344" customFormat="1" ht="21" customHeight="1" x14ac:dyDescent="0.25">
      <c r="A219" s="338"/>
      <c r="B219" s="905">
        <v>3</v>
      </c>
      <c r="C219" s="685" t="str">
        <f>ADDRESS(ROW(),COLUMN(),4)</f>
        <v>C219</v>
      </c>
      <c r="D219" s="686"/>
      <c r="E219" s="686"/>
      <c r="F219" s="687"/>
      <c r="G219" s="686"/>
      <c r="H219" s="686"/>
      <c r="I219" s="688"/>
      <c r="J219" s="688"/>
      <c r="K219" s="689"/>
      <c r="L219" s="338"/>
      <c r="M219" s="905">
        <v>3</v>
      </c>
      <c r="N219" s="690" t="str">
        <f>ADDRESS(ROW(),COLUMN(),4)</f>
        <v>N219</v>
      </c>
      <c r="O219" s="643" t="s">
        <v>4649</v>
      </c>
      <c r="P219" s="644"/>
      <c r="Q219" s="644"/>
      <c r="R219" s="644"/>
      <c r="S219" s="644"/>
      <c r="T219" s="645"/>
      <c r="U219" s="338"/>
      <c r="V219" s="338"/>
      <c r="W219" s="338"/>
      <c r="X219" s="338"/>
      <c r="Y219" s="338"/>
      <c r="Z219" s="338"/>
      <c r="AA219" s="338"/>
      <c r="AB219" s="338"/>
      <c r="AC219" s="338"/>
      <c r="AD219" s="338"/>
      <c r="AE219" s="338"/>
      <c r="AF219" s="338"/>
      <c r="AG219" s="338"/>
      <c r="AH219" s="338"/>
      <c r="AI219" s="338"/>
      <c r="AJ219" s="338"/>
      <c r="AK219" s="338"/>
      <c r="AL219" s="338"/>
      <c r="AM219" s="338"/>
      <c r="AN219" s="338"/>
      <c r="AO219" s="338"/>
      <c r="AP219" s="338"/>
      <c r="AQ219" s="338"/>
      <c r="AR219" s="338"/>
      <c r="AS219" s="338"/>
      <c r="AT219" s="338"/>
      <c r="AU219" s="338"/>
      <c r="AV219" s="338"/>
      <c r="AW219" s="338"/>
      <c r="AX219" s="338"/>
      <c r="AY219" s="338"/>
      <c r="AZ219" s="338"/>
      <c r="BA219" s="338"/>
      <c r="BB219" s="338"/>
      <c r="BC219" s="338"/>
      <c r="BD219" s="341">
        <v>1</v>
      </c>
    </row>
    <row r="220" spans="1:58" s="344" customFormat="1" ht="21" customHeight="1" x14ac:dyDescent="0.25">
      <c r="A220" s="338"/>
      <c r="B220" s="905"/>
      <c r="C220" s="687"/>
      <c r="D220" s="691" t="s">
        <v>4658</v>
      </c>
      <c r="E220" s="692">
        <v>1</v>
      </c>
      <c r="F220" s="693"/>
      <c r="G220" s="694" t="s">
        <v>4658</v>
      </c>
      <c r="H220" s="692">
        <v>1</v>
      </c>
      <c r="I220" s="695"/>
      <c r="J220" s="691" t="s">
        <v>4658</v>
      </c>
      <c r="K220" s="696">
        <v>1</v>
      </c>
      <c r="L220" s="338"/>
      <c r="M220" s="905"/>
      <c r="N220" s="907" t="s">
        <v>4659</v>
      </c>
      <c r="O220" s="907"/>
      <c r="P220" s="909" t="s">
        <v>4660</v>
      </c>
      <c r="Q220" s="909"/>
      <c r="R220" s="909"/>
      <c r="S220" s="909"/>
      <c r="T220" s="910"/>
      <c r="U220" s="338"/>
      <c r="V220" s="338"/>
      <c r="W220" s="338"/>
      <c r="X220" s="338"/>
      <c r="Y220" s="338"/>
      <c r="Z220" s="338"/>
      <c r="AA220" s="338"/>
      <c r="AB220" s="338"/>
      <c r="AC220" s="338"/>
      <c r="AD220" s="338"/>
      <c r="AE220" s="338"/>
      <c r="AF220" s="338"/>
      <c r="AG220" s="338"/>
      <c r="AH220" s="338"/>
      <c r="AI220" s="338"/>
      <c r="AJ220" s="338"/>
      <c r="AK220" s="338"/>
      <c r="AL220" s="338"/>
      <c r="AM220" s="338"/>
      <c r="AN220" s="338"/>
      <c r="AO220" s="338"/>
      <c r="AP220" s="338"/>
      <c r="AQ220" s="338"/>
      <c r="AR220" s="338"/>
      <c r="AS220" s="338"/>
      <c r="AT220" s="338"/>
      <c r="AU220" s="338"/>
      <c r="AV220" s="338"/>
      <c r="AW220" s="338"/>
      <c r="AX220" s="338"/>
      <c r="AY220" s="338"/>
      <c r="AZ220" s="338"/>
      <c r="BA220" s="338"/>
      <c r="BB220" s="338"/>
      <c r="BC220" s="338"/>
      <c r="BD220" s="341">
        <v>1</v>
      </c>
    </row>
    <row r="221" spans="1:58" s="344" customFormat="1" ht="21" customHeight="1" x14ac:dyDescent="0.25">
      <c r="A221" s="338"/>
      <c r="B221" s="905"/>
      <c r="C221" s="340"/>
      <c r="D221" s="697" t="s">
        <v>4661</v>
      </c>
      <c r="E221" s="698">
        <v>2</v>
      </c>
      <c r="F221" s="699"/>
      <c r="G221" s="700" t="s">
        <v>4662</v>
      </c>
      <c r="H221" s="698">
        <v>2</v>
      </c>
      <c r="I221" s="701"/>
      <c r="J221" s="697" t="s">
        <v>4663</v>
      </c>
      <c r="K221" s="702">
        <v>50</v>
      </c>
      <c r="L221" s="338"/>
      <c r="M221" s="905"/>
      <c r="N221" s="908"/>
      <c r="O221" s="908"/>
      <c r="P221" s="911"/>
      <c r="Q221" s="911"/>
      <c r="R221" s="911"/>
      <c r="S221" s="911"/>
      <c r="T221" s="912"/>
      <c r="U221" s="338"/>
      <c r="V221" s="338"/>
      <c r="W221" s="338"/>
      <c r="X221" s="338"/>
      <c r="Y221" s="338"/>
      <c r="Z221" s="338"/>
      <c r="AA221" s="338"/>
      <c r="AB221" s="338"/>
      <c r="AC221" s="338"/>
      <c r="AD221" s="338"/>
      <c r="AE221" s="338"/>
      <c r="AF221" s="338"/>
      <c r="AG221" s="338"/>
      <c r="AH221" s="338"/>
      <c r="AI221" s="338"/>
      <c r="AJ221" s="338"/>
      <c r="AK221" s="338"/>
      <c r="AL221" s="338"/>
      <c r="AM221" s="338"/>
      <c r="AN221" s="338"/>
      <c r="AO221" s="338"/>
      <c r="AP221" s="338"/>
      <c r="AQ221" s="338"/>
      <c r="AR221" s="338"/>
      <c r="AS221" s="338"/>
      <c r="AT221" s="338"/>
      <c r="AU221" s="338"/>
      <c r="AV221" s="338"/>
      <c r="AW221" s="338"/>
      <c r="AX221" s="338"/>
      <c r="AY221" s="338"/>
      <c r="AZ221" s="338"/>
      <c r="BA221" s="338"/>
      <c r="BB221" s="338"/>
      <c r="BC221" s="338"/>
      <c r="BD221" s="341">
        <v>1</v>
      </c>
    </row>
    <row r="222" spans="1:58" s="344" customFormat="1" ht="21" customHeight="1" x14ac:dyDescent="0.25">
      <c r="A222" s="338"/>
      <c r="B222" s="905"/>
      <c r="C222" s="340"/>
      <c r="D222" s="703" t="s">
        <v>4664</v>
      </c>
      <c r="E222" s="704">
        <f>IF(E220=0,0,IF(E221=0,0,E221-E220))</f>
        <v>1</v>
      </c>
      <c r="F222" s="699"/>
      <c r="G222" s="703" t="s">
        <v>4665</v>
      </c>
      <c r="H222" s="704">
        <f>IF(H220=0,0,H220+H221)</f>
        <v>3</v>
      </c>
      <c r="I222" s="701"/>
      <c r="J222" s="703" t="s">
        <v>4664</v>
      </c>
      <c r="K222" s="705">
        <f>K223*K221%</f>
        <v>1</v>
      </c>
      <c r="L222" s="338"/>
      <c r="M222" s="905"/>
      <c r="N222" s="913" t="s">
        <v>4666</v>
      </c>
      <c r="O222" s="915">
        <f>SUM(N226:N235)</f>
        <v>0.97000000000000008</v>
      </c>
      <c r="P222" s="917" t="str">
        <f>IF(N225&lt;S225,"Recette incomplète, il manque",IF(N225&gt;S225,"Trop de produits dans la recette",IF(N225=S225,"OK")))</f>
        <v>Recette incomplète, il manque</v>
      </c>
      <c r="Q222" s="917"/>
      <c r="R222" s="917"/>
      <c r="S222" s="917"/>
      <c r="T222" s="919">
        <f>IF(N225=S225,"",IF(N225&lt;S225,S225-N225,IF(N225&gt;S225,N225-S225)))</f>
        <v>2.9999999999999916E-2</v>
      </c>
      <c r="U222" s="338"/>
      <c r="V222" s="338"/>
      <c r="W222" s="338"/>
      <c r="X222" s="338"/>
      <c r="Y222" s="338"/>
      <c r="Z222" s="338"/>
      <c r="AA222" s="338"/>
      <c r="AB222" s="338"/>
      <c r="AC222" s="338"/>
      <c r="AD222" s="338"/>
      <c r="AE222" s="338"/>
      <c r="AF222" s="338"/>
      <c r="AG222" s="338"/>
      <c r="AH222" s="338"/>
      <c r="AI222" s="338"/>
      <c r="AJ222" s="338"/>
      <c r="AK222" s="338"/>
      <c r="AL222" s="338"/>
      <c r="AM222" s="338"/>
      <c r="AN222" s="338"/>
      <c r="AO222" s="338"/>
      <c r="AP222" s="338"/>
      <c r="AQ222" s="338"/>
      <c r="AR222" s="338"/>
      <c r="AS222" s="338"/>
      <c r="AT222" s="338"/>
      <c r="AU222" s="338"/>
      <c r="AV222" s="338"/>
      <c r="AW222" s="338"/>
      <c r="AX222" s="338"/>
      <c r="AY222" s="338"/>
      <c r="AZ222" s="338"/>
      <c r="BA222" s="338"/>
      <c r="BB222" s="338"/>
      <c r="BC222" s="338"/>
      <c r="BD222" s="341">
        <v>1</v>
      </c>
    </row>
    <row r="223" spans="1:58" s="344" customFormat="1" ht="21" customHeight="1" x14ac:dyDescent="0.25">
      <c r="A223" s="338"/>
      <c r="B223" s="905"/>
      <c r="C223" s="706"/>
      <c r="D223" s="707" t="s">
        <v>4667</v>
      </c>
      <c r="E223" s="708">
        <f>IF(E220=0,0,IF(E221=0,0,E222/E221))</f>
        <v>0.5</v>
      </c>
      <c r="F223" s="709"/>
      <c r="G223" s="707" t="s">
        <v>4667</v>
      </c>
      <c r="H223" s="708">
        <f>IF(H220=0,0,H221/H222)</f>
        <v>0.66666666666666663</v>
      </c>
      <c r="I223" s="710"/>
      <c r="J223" s="707" t="s">
        <v>4665</v>
      </c>
      <c r="K223" s="711">
        <f>K220/(100-K221)*100</f>
        <v>2</v>
      </c>
      <c r="L223" s="338"/>
      <c r="M223" s="905"/>
      <c r="N223" s="914"/>
      <c r="O223" s="916"/>
      <c r="P223" s="918"/>
      <c r="Q223" s="918"/>
      <c r="R223" s="918"/>
      <c r="S223" s="918"/>
      <c r="T223" s="920"/>
      <c r="U223" s="338"/>
      <c r="V223" s="338"/>
      <c r="W223" s="338"/>
      <c r="X223" s="338"/>
      <c r="Y223" s="338"/>
      <c r="Z223" s="338"/>
      <c r="AA223" s="338"/>
      <c r="AB223" s="338"/>
      <c r="AC223" s="338"/>
      <c r="AD223" s="338"/>
      <c r="AE223" s="338"/>
      <c r="AF223" s="338"/>
      <c r="AG223" s="338"/>
      <c r="AH223" s="338"/>
      <c r="AI223" s="338"/>
      <c r="AJ223" s="338"/>
      <c r="AK223" s="338"/>
      <c r="AL223" s="338"/>
      <c r="AM223" s="338"/>
      <c r="AN223" s="338"/>
      <c r="AO223" s="338"/>
      <c r="AP223" s="338"/>
      <c r="AQ223" s="338"/>
      <c r="AR223" s="338"/>
      <c r="AS223" s="338"/>
      <c r="AT223" s="338"/>
      <c r="AU223" s="338"/>
      <c r="AV223" s="338"/>
      <c r="AW223" s="338"/>
      <c r="AX223" s="338"/>
      <c r="AY223" s="338"/>
      <c r="AZ223" s="338"/>
      <c r="BA223" s="338"/>
      <c r="BB223" s="338"/>
      <c r="BC223" s="338"/>
      <c r="BD223" s="341">
        <v>1</v>
      </c>
    </row>
    <row r="224" spans="1:58" s="344" customFormat="1" ht="21" customHeight="1" x14ac:dyDescent="0.25">
      <c r="A224" s="338"/>
      <c r="B224" s="905"/>
      <c r="C224" s="687"/>
      <c r="D224" s="712" t="s">
        <v>4661</v>
      </c>
      <c r="E224" s="713">
        <v>2</v>
      </c>
      <c r="F224" s="693"/>
      <c r="G224" s="712" t="s">
        <v>4661</v>
      </c>
      <c r="H224" s="713">
        <v>2</v>
      </c>
      <c r="I224" s="695"/>
      <c r="J224" s="712" t="s">
        <v>4661</v>
      </c>
      <c r="K224" s="714">
        <v>1</v>
      </c>
      <c r="L224" s="338"/>
      <c r="M224" s="905"/>
      <c r="N224" s="715" t="s">
        <v>4668</v>
      </c>
      <c r="O224" s="716"/>
      <c r="P224" s="716"/>
      <c r="Q224" s="716"/>
      <c r="R224" s="717" t="s">
        <v>4669</v>
      </c>
      <c r="S224" s="718" t="s">
        <v>4670</v>
      </c>
      <c r="T224" s="719" t="s">
        <v>4671</v>
      </c>
      <c r="U224" s="338"/>
      <c r="V224" s="338"/>
      <c r="W224" s="338"/>
      <c r="X224" s="338"/>
      <c r="Y224" s="338"/>
      <c r="Z224" s="338"/>
      <c r="AA224" s="338"/>
      <c r="AB224" s="338"/>
      <c r="AC224" s="338"/>
      <c r="AD224" s="338"/>
      <c r="AE224" s="338"/>
      <c r="AF224" s="338"/>
      <c r="AG224" s="338"/>
      <c r="AH224" s="338"/>
      <c r="AI224" s="338"/>
      <c r="AJ224" s="338"/>
      <c r="AK224" s="338"/>
      <c r="AL224" s="338"/>
      <c r="AM224" s="338"/>
      <c r="AN224" s="338"/>
      <c r="AO224" s="338"/>
      <c r="AP224" s="338"/>
      <c r="AQ224" s="338"/>
      <c r="AR224" s="338"/>
      <c r="AS224" s="338"/>
      <c r="AT224" s="338"/>
      <c r="AU224" s="338"/>
      <c r="AV224" s="338"/>
      <c r="AW224" s="338"/>
      <c r="AX224" s="338"/>
      <c r="AY224" s="338"/>
      <c r="AZ224" s="338"/>
      <c r="BA224" s="338"/>
      <c r="BB224" s="338"/>
      <c r="BC224" s="338"/>
      <c r="BD224" s="341">
        <v>1</v>
      </c>
    </row>
    <row r="225" spans="1:58" s="344" customFormat="1" ht="21" customHeight="1" x14ac:dyDescent="0.25">
      <c r="A225" s="338"/>
      <c r="B225" s="905"/>
      <c r="C225" s="340"/>
      <c r="D225" s="720" t="s">
        <v>4658</v>
      </c>
      <c r="E225" s="721">
        <v>1</v>
      </c>
      <c r="F225" s="699"/>
      <c r="G225" s="720" t="s">
        <v>4662</v>
      </c>
      <c r="H225" s="721">
        <v>1</v>
      </c>
      <c r="I225" s="701"/>
      <c r="J225" s="720" t="s">
        <v>4663</v>
      </c>
      <c r="K225" s="722">
        <v>50</v>
      </c>
      <c r="L225" s="338"/>
      <c r="M225" s="905"/>
      <c r="N225" s="723">
        <f>SUM(N226:N235)</f>
        <v>0.97000000000000008</v>
      </c>
      <c r="O225" s="724"/>
      <c r="P225" s="725"/>
      <c r="Q225" s="726" t="s">
        <v>4672</v>
      </c>
      <c r="R225" s="727">
        <v>7</v>
      </c>
      <c r="S225" s="728">
        <v>1</v>
      </c>
      <c r="T225" s="729">
        <f>SUM(T226:T235)</f>
        <v>6.9300000000000006</v>
      </c>
      <c r="U225" s="338"/>
      <c r="V225" s="338"/>
      <c r="W225" s="338"/>
      <c r="X225" s="338"/>
      <c r="Y225" s="338"/>
      <c r="Z225" s="338"/>
      <c r="AA225" s="338"/>
      <c r="AB225" s="338"/>
      <c r="AC225" s="338"/>
      <c r="AD225" s="338"/>
      <c r="AE225" s="338"/>
      <c r="AF225" s="338"/>
      <c r="AG225" s="338"/>
      <c r="AH225" s="338"/>
      <c r="AI225" s="338"/>
      <c r="AJ225" s="338"/>
      <c r="AK225" s="338"/>
      <c r="AL225" s="338"/>
      <c r="AM225" s="338"/>
      <c r="AN225" s="338"/>
      <c r="AO225" s="338"/>
      <c r="AP225" s="338"/>
      <c r="AQ225" s="338"/>
      <c r="AR225" s="338"/>
      <c r="AS225" s="338"/>
      <c r="AT225" s="338"/>
      <c r="AU225" s="338"/>
      <c r="AV225" s="338"/>
      <c r="AW225" s="338"/>
      <c r="AX225" s="338"/>
      <c r="AY225" s="338"/>
      <c r="AZ225" s="338"/>
      <c r="BA225" s="338"/>
      <c r="BB225" s="338"/>
      <c r="BC225" s="338"/>
      <c r="BD225" s="341">
        <v>1</v>
      </c>
    </row>
    <row r="226" spans="1:58" s="344" customFormat="1" ht="21" customHeight="1" x14ac:dyDescent="0.25">
      <c r="A226" s="338"/>
      <c r="B226" s="905"/>
      <c r="C226" s="340"/>
      <c r="D226" s="703" t="s">
        <v>4664</v>
      </c>
      <c r="E226" s="704">
        <f>IF(E224=0,0,IF(E225=0,0,E224-E225))</f>
        <v>1</v>
      </c>
      <c r="F226" s="699"/>
      <c r="G226" s="703" t="s">
        <v>4673</v>
      </c>
      <c r="H226" s="704">
        <f>IF(H224=0,0,IF(H225=0,0,H224-H225))</f>
        <v>1</v>
      </c>
      <c r="I226" s="701"/>
      <c r="J226" s="703" t="s">
        <v>4664</v>
      </c>
      <c r="K226" s="705">
        <f>K224*K225%</f>
        <v>0.5</v>
      </c>
      <c r="L226" s="338"/>
      <c r="M226" s="905"/>
      <c r="N226" s="730">
        <v>0.12</v>
      </c>
      <c r="O226" s="731" t="s">
        <v>4674</v>
      </c>
      <c r="P226" s="731"/>
      <c r="Q226" s="731"/>
      <c r="R226" s="732">
        <f>R225*N226</f>
        <v>0.84</v>
      </c>
      <c r="S226" s="733">
        <v>0</v>
      </c>
      <c r="T226" s="734">
        <f t="shared" ref="T226:T235" si="12">IF(S226=0,R226,IF(R226="","",R226/(100-S226)*100))</f>
        <v>0.84</v>
      </c>
      <c r="U226" s="338"/>
      <c r="V226" s="338"/>
      <c r="W226" s="338"/>
      <c r="X226" s="338"/>
      <c r="Y226" s="338"/>
      <c r="Z226" s="338"/>
      <c r="AA226" s="338"/>
      <c r="AB226" s="338"/>
      <c r="AC226" s="338"/>
      <c r="AD226" s="338"/>
      <c r="AE226" s="338"/>
      <c r="AF226" s="338"/>
      <c r="AG226" s="338"/>
      <c r="AH226" s="338"/>
      <c r="AI226" s="338"/>
      <c r="AJ226" s="338"/>
      <c r="AK226" s="338"/>
      <c r="AL226" s="338"/>
      <c r="AM226" s="338"/>
      <c r="AN226" s="338"/>
      <c r="AO226" s="338"/>
      <c r="AP226" s="338"/>
      <c r="AQ226" s="338"/>
      <c r="AR226" s="338"/>
      <c r="AS226" s="338"/>
      <c r="AT226" s="338"/>
      <c r="AU226" s="338"/>
      <c r="AV226" s="338"/>
      <c r="AW226" s="338"/>
      <c r="AX226" s="338"/>
      <c r="AY226" s="338"/>
      <c r="AZ226" s="338"/>
      <c r="BA226" s="338"/>
      <c r="BB226" s="338"/>
      <c r="BC226" s="338"/>
      <c r="BD226" s="341">
        <v>1</v>
      </c>
    </row>
    <row r="227" spans="1:58" s="344" customFormat="1" ht="21" customHeight="1" x14ac:dyDescent="0.25">
      <c r="A227" s="338"/>
      <c r="B227" s="905"/>
      <c r="C227" s="706"/>
      <c r="D227" s="707" t="s">
        <v>4667</v>
      </c>
      <c r="E227" s="708">
        <f>IF(E224=0,0,E226/E224)</f>
        <v>0.5</v>
      </c>
      <c r="F227" s="709"/>
      <c r="G227" s="707" t="s">
        <v>4667</v>
      </c>
      <c r="H227" s="708">
        <f>IF(H224=0,0,IF(H225=0,0,H225/H224))</f>
        <v>0.5</v>
      </c>
      <c r="I227" s="710"/>
      <c r="J227" s="707" t="s">
        <v>4673</v>
      </c>
      <c r="K227" s="735">
        <f>K224-K226</f>
        <v>0.5</v>
      </c>
      <c r="L227" s="338"/>
      <c r="M227" s="905"/>
      <c r="N227" s="730">
        <v>0.08</v>
      </c>
      <c r="O227" s="731" t="s">
        <v>4675</v>
      </c>
      <c r="P227" s="731"/>
      <c r="Q227" s="731"/>
      <c r="R227" s="736">
        <f>R225*N227</f>
        <v>0.56000000000000005</v>
      </c>
      <c r="S227" s="737">
        <v>0</v>
      </c>
      <c r="T227" s="734">
        <f t="shared" si="12"/>
        <v>0.56000000000000005</v>
      </c>
      <c r="U227" s="338"/>
      <c r="V227" s="338"/>
      <c r="W227" s="338"/>
      <c r="X227" s="338"/>
      <c r="Y227" s="338"/>
      <c r="Z227" s="338"/>
      <c r="AA227" s="338"/>
      <c r="AB227" s="338"/>
      <c r="AC227" s="338"/>
      <c r="AD227" s="338"/>
      <c r="AE227" s="338"/>
      <c r="AF227" s="338"/>
      <c r="AG227" s="338"/>
      <c r="AH227" s="338"/>
      <c r="AI227" s="338"/>
      <c r="AJ227" s="338"/>
      <c r="AK227" s="338"/>
      <c r="AL227" s="338"/>
      <c r="AM227" s="338"/>
      <c r="AN227" s="338"/>
      <c r="AO227" s="338"/>
      <c r="AP227" s="338"/>
      <c r="AQ227" s="338"/>
      <c r="AR227" s="338"/>
      <c r="AS227" s="338"/>
      <c r="AT227" s="338"/>
      <c r="AU227" s="338"/>
      <c r="AV227" s="338"/>
      <c r="AW227" s="338"/>
      <c r="AX227" s="338"/>
      <c r="AY227" s="338"/>
      <c r="AZ227" s="338"/>
      <c r="BA227" s="338"/>
      <c r="BB227" s="338"/>
      <c r="BC227" s="338"/>
      <c r="BD227" s="341">
        <v>1</v>
      </c>
    </row>
    <row r="228" spans="1:58" s="344" customFormat="1" ht="21" customHeight="1" x14ac:dyDescent="0.25">
      <c r="A228" s="338"/>
      <c r="B228" s="905"/>
      <c r="C228" s="921" t="s">
        <v>4654</v>
      </c>
      <c r="D228" s="921"/>
      <c r="E228" s="921"/>
      <c r="F228" s="921"/>
      <c r="G228" s="921"/>
      <c r="H228" s="921"/>
      <c r="I228" s="921"/>
      <c r="J228" s="921"/>
      <c r="K228" s="922"/>
      <c r="L228" s="338"/>
      <c r="M228" s="905"/>
      <c r="N228" s="730">
        <v>0.2</v>
      </c>
      <c r="O228" s="731" t="s">
        <v>4676</v>
      </c>
      <c r="P228" s="731"/>
      <c r="Q228" s="731"/>
      <c r="R228" s="736">
        <f>R225*N228</f>
        <v>1.4000000000000001</v>
      </c>
      <c r="S228" s="737">
        <v>0</v>
      </c>
      <c r="T228" s="734">
        <f t="shared" si="12"/>
        <v>1.4000000000000001</v>
      </c>
      <c r="U228" s="338"/>
      <c r="V228" s="338"/>
      <c r="W228" s="338"/>
      <c r="X228" s="338"/>
      <c r="Y228" s="338"/>
      <c r="Z228" s="338"/>
      <c r="AA228" s="338"/>
      <c r="AB228" s="338"/>
      <c r="AC228" s="338"/>
      <c r="AD228" s="338"/>
      <c r="AE228" s="338"/>
      <c r="AF228" s="338"/>
      <c r="AG228" s="338"/>
      <c r="AH228" s="338"/>
      <c r="AI228" s="338"/>
      <c r="AJ228" s="338"/>
      <c r="AK228" s="338"/>
      <c r="AL228" s="338"/>
      <c r="AM228" s="338"/>
      <c r="AN228" s="338"/>
      <c r="AO228" s="338"/>
      <c r="AP228" s="338"/>
      <c r="AQ228" s="338"/>
      <c r="AR228" s="338"/>
      <c r="AS228" s="338"/>
      <c r="AT228" s="338"/>
      <c r="AU228" s="338"/>
      <c r="AV228" s="338"/>
      <c r="AW228" s="338"/>
      <c r="AX228" s="338"/>
      <c r="AY228" s="338"/>
      <c r="AZ228" s="338"/>
      <c r="BA228" s="338"/>
      <c r="BB228" s="338"/>
      <c r="BC228" s="338"/>
      <c r="BD228" s="341">
        <v>1</v>
      </c>
    </row>
    <row r="229" spans="1:58" s="344" customFormat="1" ht="21" customHeight="1" x14ac:dyDescent="0.25">
      <c r="A229" s="338"/>
      <c r="B229" s="905"/>
      <c r="C229" s="409">
        <v>8</v>
      </c>
      <c r="D229" s="409">
        <v>8</v>
      </c>
      <c r="E229" s="409">
        <v>11</v>
      </c>
      <c r="F229" s="409">
        <v>8</v>
      </c>
      <c r="G229" s="409">
        <v>8</v>
      </c>
      <c r="H229" s="409">
        <v>11</v>
      </c>
      <c r="I229" s="409">
        <v>8</v>
      </c>
      <c r="J229" s="409">
        <v>8</v>
      </c>
      <c r="K229" s="410">
        <v>11</v>
      </c>
      <c r="L229" s="338"/>
      <c r="M229" s="905"/>
      <c r="N229" s="730">
        <v>0.55000000000000004</v>
      </c>
      <c r="O229" s="731" t="s">
        <v>4677</v>
      </c>
      <c r="P229" s="731"/>
      <c r="Q229" s="731"/>
      <c r="R229" s="736">
        <f>R225*N229</f>
        <v>3.8500000000000005</v>
      </c>
      <c r="S229" s="737">
        <v>0</v>
      </c>
      <c r="T229" s="734">
        <f t="shared" si="12"/>
        <v>3.8500000000000005</v>
      </c>
      <c r="U229" s="338"/>
      <c r="V229" s="338"/>
      <c r="W229" s="338"/>
      <c r="X229" s="338"/>
      <c r="Y229" s="338"/>
      <c r="Z229" s="338"/>
      <c r="AA229" s="338"/>
      <c r="AB229" s="338"/>
      <c r="AC229" s="338"/>
      <c r="AD229" s="338"/>
      <c r="AE229" s="338"/>
      <c r="AF229" s="338"/>
      <c r="AG229" s="338"/>
      <c r="AH229" s="338"/>
      <c r="AI229" s="338"/>
      <c r="AJ229" s="338"/>
      <c r="AK229" s="338"/>
      <c r="AL229" s="338"/>
      <c r="AM229" s="338"/>
      <c r="AN229" s="338"/>
      <c r="AO229" s="338"/>
      <c r="AP229" s="338"/>
      <c r="AQ229" s="338"/>
      <c r="AR229" s="338"/>
      <c r="AS229" s="338"/>
      <c r="AT229" s="338"/>
      <c r="AU229" s="338"/>
      <c r="AV229" s="338"/>
      <c r="AW229" s="338"/>
      <c r="AX229" s="338"/>
      <c r="AY229" s="338"/>
      <c r="AZ229" s="338"/>
      <c r="BA229" s="338"/>
      <c r="BB229" s="338"/>
      <c r="BC229" s="338"/>
      <c r="BD229" s="341">
        <v>1</v>
      </c>
    </row>
    <row r="230" spans="1:58" s="344" customFormat="1" ht="21" customHeight="1" thickBot="1" x14ac:dyDescent="0.3">
      <c r="A230" s="338"/>
      <c r="B230" s="906"/>
      <c r="C230" s="416">
        <f t="shared" ref="C230:K230" ca="1" si="13">INDEX(CELL("largeur",C230),1,1)</f>
        <v>13</v>
      </c>
      <c r="D230" s="416">
        <f t="shared" ca="1" si="13"/>
        <v>21</v>
      </c>
      <c r="E230" s="416">
        <f t="shared" ca="1" si="13"/>
        <v>13</v>
      </c>
      <c r="F230" s="416">
        <f t="shared" ca="1" si="13"/>
        <v>13</v>
      </c>
      <c r="G230" s="416">
        <f t="shared" ca="1" si="13"/>
        <v>13</v>
      </c>
      <c r="H230" s="416">
        <f t="shared" ca="1" si="13"/>
        <v>13</v>
      </c>
      <c r="I230" s="416">
        <f t="shared" ca="1" si="13"/>
        <v>16</v>
      </c>
      <c r="J230" s="416">
        <f t="shared" ca="1" si="13"/>
        <v>18</v>
      </c>
      <c r="K230" s="417">
        <f t="shared" ca="1" si="13"/>
        <v>16</v>
      </c>
      <c r="L230" s="338"/>
      <c r="M230" s="905"/>
      <c r="N230" s="730">
        <v>0.02</v>
      </c>
      <c r="O230" s="731" t="s">
        <v>4678</v>
      </c>
      <c r="P230" s="731"/>
      <c r="Q230" s="731"/>
      <c r="R230" s="736">
        <f>R225*N230</f>
        <v>0.14000000000000001</v>
      </c>
      <c r="S230" s="737">
        <v>50</v>
      </c>
      <c r="T230" s="734">
        <f t="shared" si="12"/>
        <v>0.28000000000000003</v>
      </c>
      <c r="U230" s="338"/>
      <c r="V230" s="338"/>
      <c r="W230" s="338"/>
      <c r="X230" s="338"/>
      <c r="Y230" s="338"/>
      <c r="Z230" s="338"/>
      <c r="AA230" s="338"/>
      <c r="AB230" s="338"/>
      <c r="AC230" s="338"/>
      <c r="AD230" s="338"/>
      <c r="AE230" s="338"/>
      <c r="AF230" s="338"/>
      <c r="AG230" s="338"/>
      <c r="AH230" s="338"/>
      <c r="AI230" s="338"/>
      <c r="AJ230" s="338"/>
      <c r="AK230" s="338"/>
      <c r="AL230" s="338"/>
      <c r="AM230" s="338"/>
      <c r="AN230" s="338"/>
      <c r="AO230" s="338"/>
      <c r="AP230" s="338"/>
      <c r="AQ230" s="338"/>
      <c r="AR230" s="338"/>
      <c r="AS230" s="338"/>
      <c r="AT230" s="338"/>
      <c r="AU230" s="338"/>
      <c r="AV230" s="338"/>
      <c r="AW230" s="338"/>
      <c r="AX230" s="338"/>
      <c r="AY230" s="338"/>
      <c r="AZ230" s="338"/>
      <c r="BA230" s="338"/>
      <c r="BB230" s="338"/>
      <c r="BC230" s="338"/>
      <c r="BD230" s="341">
        <v>1</v>
      </c>
    </row>
    <row r="231" spans="1:58" s="344" customFormat="1" ht="21" customHeight="1" thickBot="1" x14ac:dyDescent="0.3">
      <c r="A231" s="338">
        <v>1</v>
      </c>
      <c r="B231" s="338">
        <v>1</v>
      </c>
      <c r="C231" s="338">
        <v>1</v>
      </c>
      <c r="D231" s="338">
        <v>1</v>
      </c>
      <c r="E231" s="338">
        <v>1</v>
      </c>
      <c r="F231" s="338">
        <v>1</v>
      </c>
      <c r="G231" s="338">
        <v>1</v>
      </c>
      <c r="H231" s="338">
        <v>1</v>
      </c>
      <c r="I231" s="338"/>
      <c r="J231" s="338"/>
      <c r="K231" s="338"/>
      <c r="L231" s="338"/>
      <c r="M231" s="905"/>
      <c r="N231" s="730"/>
      <c r="O231" s="731"/>
      <c r="P231" s="731"/>
      <c r="Q231" s="731"/>
      <c r="R231" s="736">
        <f>R225*N231</f>
        <v>0</v>
      </c>
      <c r="S231" s="737"/>
      <c r="T231" s="734">
        <f t="shared" si="12"/>
        <v>0</v>
      </c>
      <c r="U231" s="338"/>
      <c r="V231" s="338"/>
      <c r="W231" s="338"/>
      <c r="X231" s="338"/>
      <c r="Y231" s="338"/>
      <c r="Z231" s="338"/>
      <c r="AA231" s="338"/>
      <c r="AB231" s="338"/>
      <c r="AC231" s="338"/>
      <c r="AD231" s="338"/>
      <c r="AE231" s="338"/>
      <c r="AF231" s="338"/>
      <c r="AG231" s="338"/>
      <c r="AH231" s="338"/>
      <c r="AI231" s="338"/>
      <c r="AJ231" s="338"/>
      <c r="AK231" s="338"/>
      <c r="AL231" s="338"/>
      <c r="AM231" s="338"/>
      <c r="AN231" s="338"/>
      <c r="AO231" s="338"/>
      <c r="AP231" s="338"/>
      <c r="AQ231" s="338"/>
      <c r="AR231" s="338"/>
      <c r="AS231" s="338"/>
      <c r="AT231" s="338"/>
      <c r="AU231" s="338"/>
      <c r="AV231" s="338"/>
      <c r="AW231" s="338"/>
      <c r="AX231" s="338"/>
      <c r="AY231" s="338"/>
      <c r="AZ231" s="338"/>
      <c r="BA231" s="338"/>
      <c r="BB231" s="338"/>
      <c r="BC231" s="338"/>
      <c r="BD231" s="341">
        <v>1</v>
      </c>
    </row>
    <row r="232" spans="1:58" s="344" customFormat="1" ht="21" customHeight="1" x14ac:dyDescent="0.25">
      <c r="A232" s="338">
        <v>1</v>
      </c>
      <c r="B232" s="367" t="s">
        <v>4491</v>
      </c>
      <c r="C232" s="927" t="s">
        <v>4679</v>
      </c>
      <c r="D232" s="927"/>
      <c r="E232" s="927"/>
      <c r="F232" s="927"/>
      <c r="G232" s="927"/>
      <c r="H232" s="928"/>
      <c r="I232" s="338"/>
      <c r="J232" s="338"/>
      <c r="K232" s="338"/>
      <c r="L232" s="338"/>
      <c r="M232" s="905"/>
      <c r="N232" s="730"/>
      <c r="O232" s="731"/>
      <c r="P232" s="731"/>
      <c r="Q232" s="731"/>
      <c r="R232" s="736">
        <f>R225*N232</f>
        <v>0</v>
      </c>
      <c r="S232" s="737"/>
      <c r="T232" s="734">
        <f t="shared" si="12"/>
        <v>0</v>
      </c>
      <c r="U232" s="338"/>
      <c r="V232" s="338"/>
      <c r="W232" s="338"/>
      <c r="X232" s="338"/>
      <c r="Y232" s="338"/>
      <c r="Z232" s="338"/>
      <c r="AA232" s="338"/>
      <c r="AB232" s="338"/>
      <c r="AC232" s="338"/>
      <c r="AD232" s="338"/>
      <c r="AE232" s="338"/>
      <c r="AF232" s="338"/>
      <c r="AG232" s="338"/>
      <c r="AH232" s="338"/>
      <c r="AI232" s="338"/>
      <c r="AJ232" s="338"/>
      <c r="AK232" s="338"/>
      <c r="AL232" s="338"/>
      <c r="AM232" s="338"/>
      <c r="AN232" s="338"/>
      <c r="AO232" s="338"/>
      <c r="AP232" s="338"/>
      <c r="AQ232" s="338"/>
      <c r="AR232" s="338"/>
      <c r="AS232" s="338"/>
      <c r="AT232" s="338"/>
      <c r="AU232" s="338"/>
      <c r="AV232" s="338"/>
      <c r="AW232" s="338"/>
      <c r="AX232" s="338"/>
      <c r="AY232" s="338"/>
      <c r="AZ232" s="338"/>
      <c r="BA232" s="338"/>
      <c r="BB232" s="338"/>
      <c r="BC232" s="338"/>
      <c r="BD232" s="341">
        <v>1</v>
      </c>
    </row>
    <row r="233" spans="1:58" s="344" customFormat="1" ht="21" customHeight="1" x14ac:dyDescent="0.25">
      <c r="A233" s="338">
        <v>1</v>
      </c>
      <c r="B233" s="929">
        <v>3</v>
      </c>
      <c r="C233" s="690" t="str">
        <f>ADDRESS(ROW(),COLUMN(),4)</f>
        <v>C233</v>
      </c>
      <c r="D233" s="643" t="s">
        <v>4649</v>
      </c>
      <c r="E233" s="738"/>
      <c r="F233" s="739"/>
      <c r="G233" s="740"/>
      <c r="H233" s="741"/>
      <c r="I233" s="338"/>
      <c r="J233" s="338"/>
      <c r="K233" s="338"/>
      <c r="L233" s="338"/>
      <c r="M233" s="905"/>
      <c r="N233" s="730"/>
      <c r="O233" s="731"/>
      <c r="P233" s="731"/>
      <c r="Q233" s="731"/>
      <c r="R233" s="736">
        <f>R225*N233</f>
        <v>0</v>
      </c>
      <c r="S233" s="737"/>
      <c r="T233" s="734">
        <f t="shared" si="12"/>
        <v>0</v>
      </c>
      <c r="U233" s="338"/>
      <c r="V233" s="338"/>
      <c r="W233" s="338"/>
      <c r="X233" s="338"/>
      <c r="Y233" s="338"/>
      <c r="Z233" s="338"/>
      <c r="AA233" s="338"/>
      <c r="AB233" s="338"/>
      <c r="AC233" s="338"/>
      <c r="AD233" s="338"/>
      <c r="AE233" s="338"/>
      <c r="AF233" s="338"/>
      <c r="AG233" s="338"/>
      <c r="AH233" s="338"/>
      <c r="AI233" s="338"/>
      <c r="AJ233" s="338"/>
      <c r="AK233" s="338"/>
      <c r="AL233" s="338"/>
      <c r="AM233" s="338"/>
      <c r="AN233" s="338"/>
      <c r="AO233" s="338"/>
      <c r="AP233" s="338"/>
      <c r="AQ233" s="338"/>
      <c r="AR233" s="338"/>
      <c r="AS233" s="338"/>
      <c r="AT233" s="338"/>
      <c r="AU233" s="338"/>
      <c r="AV233" s="338"/>
      <c r="AW233" s="338"/>
      <c r="AX233" s="338"/>
      <c r="AY233" s="338"/>
      <c r="AZ233" s="338"/>
      <c r="BA233" s="338"/>
      <c r="BB233" s="338"/>
      <c r="BC233" s="338"/>
      <c r="BD233" s="341">
        <v>1</v>
      </c>
    </row>
    <row r="234" spans="1:58" s="344" customFormat="1" ht="21" customHeight="1" x14ac:dyDescent="0.25">
      <c r="A234" s="338">
        <v>1</v>
      </c>
      <c r="B234" s="929"/>
      <c r="C234" s="931" t="s">
        <v>4680</v>
      </c>
      <c r="D234" s="931"/>
      <c r="E234" s="743" t="s">
        <v>4681</v>
      </c>
      <c r="F234" s="742" t="s">
        <v>4682</v>
      </c>
      <c r="G234" s="932" t="s">
        <v>3620</v>
      </c>
      <c r="H234" s="933"/>
      <c r="I234" s="338"/>
      <c r="J234" s="338"/>
      <c r="K234" s="338"/>
      <c r="L234" s="338"/>
      <c r="M234" s="905"/>
      <c r="N234" s="730"/>
      <c r="O234" s="731"/>
      <c r="P234" s="731"/>
      <c r="Q234" s="731"/>
      <c r="R234" s="736">
        <f>R225*N234</f>
        <v>0</v>
      </c>
      <c r="S234" s="737"/>
      <c r="T234" s="734">
        <f t="shared" si="12"/>
        <v>0</v>
      </c>
      <c r="U234" s="338"/>
      <c r="V234" s="338"/>
      <c r="W234" s="338"/>
      <c r="X234" s="338"/>
      <c r="Y234" s="338"/>
      <c r="Z234" s="338"/>
      <c r="AA234" s="338"/>
      <c r="AB234" s="338"/>
      <c r="AC234" s="338"/>
      <c r="AD234" s="338"/>
      <c r="AE234" s="338"/>
      <c r="AF234" s="338"/>
      <c r="AG234" s="338"/>
      <c r="AH234" s="338"/>
      <c r="AI234" s="338"/>
      <c r="AJ234" s="338"/>
      <c r="AK234" s="338"/>
      <c r="AL234" s="338"/>
      <c r="AM234" s="338"/>
      <c r="AN234" s="338"/>
      <c r="AO234" s="338"/>
      <c r="AP234" s="338"/>
      <c r="AQ234" s="338"/>
      <c r="AR234" s="338"/>
      <c r="AS234" s="338"/>
      <c r="AT234" s="338"/>
      <c r="AU234" s="338"/>
      <c r="AV234" s="338"/>
      <c r="AW234" s="338"/>
      <c r="AX234" s="338"/>
      <c r="AY234" s="338"/>
      <c r="AZ234" s="338"/>
      <c r="BA234" s="338"/>
      <c r="BB234" s="338"/>
      <c r="BC234" s="338"/>
      <c r="BD234" s="341">
        <v>1</v>
      </c>
    </row>
    <row r="235" spans="1:58" s="344" customFormat="1" ht="21" customHeight="1" x14ac:dyDescent="0.25">
      <c r="A235" s="338">
        <v>1</v>
      </c>
      <c r="B235" s="929"/>
      <c r="C235" s="901">
        <v>20</v>
      </c>
      <c r="D235" s="902">
        <f>C235/100</f>
        <v>0.2</v>
      </c>
      <c r="E235" s="744" t="s">
        <v>4683</v>
      </c>
      <c r="F235" s="745">
        <v>1</v>
      </c>
      <c r="G235" s="746">
        <f>(C235*F235)*10</f>
        <v>200</v>
      </c>
      <c r="H235" s="747">
        <f>G235/1000</f>
        <v>0.2</v>
      </c>
      <c r="I235" s="338"/>
      <c r="J235" s="338"/>
      <c r="K235" s="338"/>
      <c r="L235" s="338"/>
      <c r="M235" s="905"/>
      <c r="N235" s="748"/>
      <c r="O235" s="749"/>
      <c r="P235" s="749"/>
      <c r="Q235" s="749"/>
      <c r="R235" s="750">
        <f>R225*N235</f>
        <v>0</v>
      </c>
      <c r="S235" s="751"/>
      <c r="T235" s="752">
        <f t="shared" si="12"/>
        <v>0</v>
      </c>
      <c r="U235" s="338"/>
      <c r="V235" s="338"/>
      <c r="W235" s="338"/>
      <c r="X235" s="338"/>
      <c r="Y235" s="338"/>
      <c r="Z235" s="338"/>
      <c r="AA235" s="338"/>
      <c r="AB235" s="338"/>
      <c r="AC235" s="338"/>
      <c r="AD235" s="338"/>
      <c r="AE235" s="338"/>
      <c r="AF235" s="338"/>
      <c r="AG235" s="338"/>
      <c r="AH235" s="338"/>
      <c r="AI235" s="338"/>
      <c r="AJ235" s="338"/>
      <c r="AK235" s="338"/>
      <c r="AL235" s="338"/>
      <c r="AM235" s="338"/>
      <c r="AN235" s="338"/>
      <c r="AO235" s="338"/>
      <c r="AP235" s="338"/>
      <c r="AQ235" s="338"/>
      <c r="AR235" s="338"/>
      <c r="AS235" s="338"/>
      <c r="AT235" s="338"/>
      <c r="AU235" s="338"/>
      <c r="AV235" s="338"/>
      <c r="AW235" s="338"/>
      <c r="AX235" s="338"/>
      <c r="AY235" s="338"/>
      <c r="AZ235" s="338"/>
      <c r="BA235" s="338"/>
      <c r="BB235" s="338"/>
      <c r="BC235" s="338"/>
      <c r="BD235" s="341">
        <v>1</v>
      </c>
    </row>
    <row r="236" spans="1:58" s="344" customFormat="1" ht="21" customHeight="1" x14ac:dyDescent="0.25">
      <c r="A236" s="338">
        <v>1</v>
      </c>
      <c r="B236" s="929"/>
      <c r="C236" s="901"/>
      <c r="D236" s="902"/>
      <c r="E236" s="744" t="s">
        <v>4684</v>
      </c>
      <c r="F236" s="745">
        <v>1.03</v>
      </c>
      <c r="G236" s="746">
        <f>(C235*F236)*10</f>
        <v>206</v>
      </c>
      <c r="H236" s="747">
        <f>G236/1000</f>
        <v>0.20599999999999999</v>
      </c>
      <c r="I236" s="338"/>
      <c r="J236" s="338"/>
      <c r="K236" s="338"/>
      <c r="L236" s="338"/>
      <c r="M236" s="905"/>
      <c r="N236" s="923" t="s">
        <v>4685</v>
      </c>
      <c r="O236" s="923"/>
      <c r="P236" s="923"/>
      <c r="Q236" s="923"/>
      <c r="R236" s="923"/>
      <c r="S236" s="923"/>
      <c r="T236" s="924"/>
      <c r="U236" s="338"/>
      <c r="V236" s="338"/>
      <c r="W236" s="338"/>
      <c r="X236" s="338"/>
      <c r="Y236" s="338"/>
      <c r="Z236" s="338"/>
      <c r="AA236" s="338"/>
      <c r="AB236" s="338"/>
      <c r="AC236" s="338"/>
      <c r="AD236" s="338"/>
      <c r="AE236" s="338"/>
      <c r="AF236" s="338"/>
      <c r="AG236" s="338"/>
      <c r="AH236" s="338"/>
      <c r="AI236" s="338"/>
      <c r="AJ236" s="338"/>
      <c r="AK236" s="338"/>
      <c r="AL236" s="338"/>
      <c r="AM236" s="338"/>
      <c r="AN236" s="338"/>
      <c r="AO236" s="338"/>
      <c r="AP236" s="338"/>
      <c r="AQ236" s="338"/>
      <c r="AR236" s="338"/>
      <c r="AS236" s="338"/>
      <c r="AT236" s="338"/>
      <c r="AU236" s="338"/>
      <c r="AV236" s="338"/>
      <c r="AW236" s="338"/>
      <c r="AX236" s="338"/>
      <c r="AY236" s="338"/>
      <c r="AZ236" s="338"/>
      <c r="BA236" s="338"/>
      <c r="BB236" s="338"/>
      <c r="BC236" s="338"/>
      <c r="BD236" s="341">
        <v>1</v>
      </c>
    </row>
    <row r="237" spans="1:58" s="344" customFormat="1" ht="21" customHeight="1" x14ac:dyDescent="0.25">
      <c r="A237" s="338">
        <v>1</v>
      </c>
      <c r="B237" s="929"/>
      <c r="C237" s="901"/>
      <c r="D237" s="902"/>
      <c r="E237" s="744" t="s">
        <v>4686</v>
      </c>
      <c r="F237" s="745">
        <v>1.0149999999999999</v>
      </c>
      <c r="G237" s="746">
        <f>(F237*C235)*10</f>
        <v>202.99999999999997</v>
      </c>
      <c r="H237" s="747">
        <f>G237/1000</f>
        <v>0.20299999999999996</v>
      </c>
      <c r="I237" s="338"/>
      <c r="J237" s="338"/>
      <c r="K237" s="338"/>
      <c r="L237" s="338"/>
      <c r="M237" s="905"/>
      <c r="N237" s="753"/>
      <c r="O237" s="753" t="s">
        <v>4687</v>
      </c>
      <c r="P237" s="754"/>
      <c r="Q237" s="755" t="s">
        <v>4688</v>
      </c>
      <c r="R237" s="756"/>
      <c r="S237" s="756"/>
      <c r="T237" s="757"/>
      <c r="U237" s="338"/>
      <c r="V237" s="338"/>
      <c r="W237" s="338"/>
      <c r="X237" s="338"/>
      <c r="Y237" s="338"/>
      <c r="Z237" s="338"/>
      <c r="AA237" s="338"/>
      <c r="AB237" s="338"/>
      <c r="AC237" s="338"/>
      <c r="AD237" s="338"/>
      <c r="AE237" s="338"/>
      <c r="AF237" s="338"/>
      <c r="AG237" s="338"/>
      <c r="AH237" s="338"/>
      <c r="AI237" s="338"/>
      <c r="AJ237" s="338"/>
      <c r="AK237" s="338"/>
      <c r="AL237" s="338"/>
      <c r="AM237" s="338"/>
      <c r="AN237" s="338"/>
      <c r="AO237" s="338"/>
      <c r="AP237" s="338"/>
      <c r="AQ237" s="338"/>
      <c r="AR237" s="338"/>
      <c r="AS237" s="338"/>
      <c r="AT237" s="338"/>
      <c r="AU237" s="338"/>
      <c r="AV237" s="338"/>
      <c r="AW237" s="338"/>
      <c r="AX237" s="338"/>
      <c r="AY237" s="338"/>
      <c r="AZ237" s="338"/>
      <c r="BA237" s="338"/>
      <c r="BB237" s="338"/>
      <c r="BC237" s="338"/>
      <c r="BD237" s="341">
        <v>1</v>
      </c>
    </row>
    <row r="238" spans="1:58" s="344" customFormat="1" ht="21" customHeight="1" x14ac:dyDescent="0.25">
      <c r="A238" s="338">
        <v>1</v>
      </c>
      <c r="B238" s="929"/>
      <c r="C238" s="901"/>
      <c r="D238" s="902"/>
      <c r="E238" s="744" t="s">
        <v>4689</v>
      </c>
      <c r="F238" s="745">
        <v>0.92</v>
      </c>
      <c r="G238" s="746">
        <f>(F238*C235)*10</f>
        <v>184.00000000000003</v>
      </c>
      <c r="H238" s="747">
        <f>G238/1000</f>
        <v>0.18400000000000002</v>
      </c>
      <c r="I238" s="338"/>
      <c r="J238" s="338"/>
      <c r="K238" s="338"/>
      <c r="L238" s="338"/>
      <c r="M238" s="905"/>
      <c r="N238" s="754"/>
      <c r="O238" s="754" t="s">
        <v>4690</v>
      </c>
      <c r="P238" s="754"/>
      <c r="Q238" s="754" t="s">
        <v>4691</v>
      </c>
      <c r="R238" s="756"/>
      <c r="S238" s="754" t="s">
        <v>4670</v>
      </c>
      <c r="T238" s="757"/>
      <c r="U238" s="338"/>
      <c r="V238" s="338"/>
      <c r="W238" s="338"/>
      <c r="X238" s="338"/>
      <c r="Y238" s="338"/>
      <c r="Z238" s="338"/>
      <c r="AA238" s="338"/>
      <c r="AB238" s="338"/>
      <c r="AC238" s="338"/>
      <c r="AD238" s="338"/>
      <c r="AE238" s="338"/>
      <c r="AF238" s="338"/>
      <c r="AG238" s="338"/>
      <c r="AH238" s="338"/>
      <c r="AI238" s="338"/>
      <c r="AJ238" s="338"/>
      <c r="AK238" s="338"/>
      <c r="AL238" s="338"/>
      <c r="AM238" s="338"/>
      <c r="AN238" s="338"/>
      <c r="AO238" s="338"/>
      <c r="AP238" s="338"/>
      <c r="AQ238" s="338"/>
      <c r="AR238" s="338"/>
      <c r="AS238" s="338"/>
      <c r="AT238" s="338"/>
      <c r="AU238" s="338"/>
      <c r="AV238" s="338"/>
      <c r="AW238" s="338"/>
      <c r="AX238" s="338"/>
      <c r="AY238" s="338"/>
      <c r="AZ238" s="338"/>
      <c r="BA238" s="338"/>
      <c r="BB238" s="338"/>
      <c r="BC238" s="338"/>
      <c r="BD238" s="341">
        <v>1</v>
      </c>
    </row>
    <row r="239" spans="1:58" ht="21" customHeight="1" x14ac:dyDescent="0.25">
      <c r="A239" s="338">
        <v>1</v>
      </c>
      <c r="B239" s="929"/>
      <c r="C239" s="901"/>
      <c r="D239" s="902"/>
      <c r="E239" s="744" t="s">
        <v>4692</v>
      </c>
      <c r="F239" s="745">
        <v>0.8</v>
      </c>
      <c r="G239" s="746">
        <f>(F239*C235)*10</f>
        <v>160</v>
      </c>
      <c r="H239" s="747">
        <f>G239/1000</f>
        <v>0.16</v>
      </c>
      <c r="I239" s="338"/>
      <c r="J239" s="338"/>
      <c r="K239" s="338"/>
      <c r="L239" s="338"/>
      <c r="M239" s="905"/>
      <c r="N239" s="409">
        <v>10</v>
      </c>
      <c r="O239" s="409">
        <v>10</v>
      </c>
      <c r="P239" s="409">
        <v>10</v>
      </c>
      <c r="Q239" s="409">
        <v>10</v>
      </c>
      <c r="R239" s="409">
        <v>13</v>
      </c>
      <c r="S239" s="409">
        <v>8</v>
      </c>
      <c r="T239" s="410">
        <v>13</v>
      </c>
      <c r="U239" s="338"/>
      <c r="V239" s="338"/>
      <c r="W239" s="338"/>
      <c r="X239" s="338"/>
      <c r="Y239" s="338"/>
      <c r="Z239" s="338"/>
      <c r="AA239" s="338"/>
      <c r="AB239" s="338"/>
      <c r="AC239" s="338"/>
      <c r="AD239" s="338"/>
      <c r="AE239" s="338"/>
      <c r="AF239" s="338"/>
      <c r="AG239" s="338"/>
      <c r="AH239" s="338"/>
      <c r="AI239" s="338"/>
      <c r="AJ239" s="338"/>
      <c r="AK239" s="338"/>
      <c r="AL239" s="338"/>
      <c r="AM239" s="338"/>
      <c r="AN239" s="338"/>
      <c r="AO239" s="338"/>
      <c r="AP239" s="338"/>
      <c r="AQ239" s="338"/>
      <c r="AR239" s="338"/>
      <c r="AS239" s="338"/>
      <c r="AT239" s="338"/>
      <c r="AU239" s="338"/>
      <c r="AV239" s="338"/>
      <c r="AW239" s="338"/>
      <c r="AX239" s="338"/>
      <c r="AY239" s="338"/>
      <c r="AZ239" s="338"/>
      <c r="BA239" s="338"/>
      <c r="BB239" s="338"/>
      <c r="BC239" s="338"/>
      <c r="BD239" s="341">
        <v>1</v>
      </c>
      <c r="BE239" s="344"/>
      <c r="BF239" s="344"/>
    </row>
    <row r="240" spans="1:58" ht="21" customHeight="1" thickBot="1" x14ac:dyDescent="0.3">
      <c r="A240" s="338">
        <v>1</v>
      </c>
      <c r="B240" s="929"/>
      <c r="C240" s="925" t="s">
        <v>4693</v>
      </c>
      <c r="D240" s="925"/>
      <c r="E240" s="925"/>
      <c r="F240" s="925"/>
      <c r="G240" s="925"/>
      <c r="H240" s="926"/>
      <c r="I240" s="338"/>
      <c r="J240" s="338"/>
      <c r="K240" s="338"/>
      <c r="L240" s="338"/>
      <c r="M240" s="906"/>
      <c r="N240" s="416">
        <f t="shared" ref="N240:T240" ca="1" si="14">INDEX(CELL("largeur",N240),1,1)</f>
        <v>16</v>
      </c>
      <c r="O240" s="416">
        <f t="shared" ca="1" si="14"/>
        <v>16</v>
      </c>
      <c r="P240" s="416">
        <f t="shared" ca="1" si="14"/>
        <v>16</v>
      </c>
      <c r="Q240" s="416">
        <f t="shared" ca="1" si="14"/>
        <v>11</v>
      </c>
      <c r="R240" s="416">
        <f t="shared" ca="1" si="14"/>
        <v>11</v>
      </c>
      <c r="S240" s="416">
        <f t="shared" ca="1" si="14"/>
        <v>11</v>
      </c>
      <c r="T240" s="417">
        <f t="shared" ca="1" si="14"/>
        <v>11</v>
      </c>
      <c r="U240" s="338"/>
      <c r="V240" s="338"/>
      <c r="W240" s="338"/>
      <c r="X240" s="338"/>
      <c r="Y240" s="338"/>
      <c r="Z240" s="338"/>
      <c r="AA240" s="338"/>
      <c r="AB240" s="338"/>
      <c r="AC240" s="338"/>
      <c r="AD240" s="338"/>
      <c r="AE240" s="338"/>
      <c r="AF240" s="338"/>
      <c r="AG240" s="338"/>
      <c r="AH240" s="338"/>
      <c r="AI240" s="338"/>
      <c r="AJ240" s="338"/>
      <c r="AK240" s="338"/>
      <c r="AL240" s="338"/>
      <c r="AM240" s="338"/>
      <c r="AN240" s="338"/>
      <c r="AO240" s="338"/>
      <c r="AP240" s="338"/>
      <c r="AQ240" s="338"/>
      <c r="AR240" s="338"/>
      <c r="AS240" s="338"/>
      <c r="AT240" s="338"/>
      <c r="AU240" s="338"/>
      <c r="AV240" s="338"/>
      <c r="AW240" s="338"/>
      <c r="AX240" s="338"/>
      <c r="AY240" s="338"/>
      <c r="AZ240" s="338"/>
      <c r="BA240" s="338"/>
      <c r="BB240" s="338"/>
      <c r="BC240" s="338"/>
      <c r="BD240" s="341">
        <v>1</v>
      </c>
      <c r="BE240" s="344"/>
      <c r="BF240" s="344"/>
    </row>
    <row r="241" spans="1:58" ht="21" customHeight="1" x14ac:dyDescent="0.25">
      <c r="A241" s="338">
        <v>1</v>
      </c>
      <c r="B241" s="929"/>
      <c r="C241" s="409">
        <v>8</v>
      </c>
      <c r="D241" s="409">
        <v>9</v>
      </c>
      <c r="E241" s="409">
        <v>11</v>
      </c>
      <c r="F241" s="409">
        <v>11</v>
      </c>
      <c r="G241" s="409">
        <v>11</v>
      </c>
      <c r="H241" s="758">
        <v>11</v>
      </c>
      <c r="I241" s="338"/>
      <c r="J241" s="338"/>
      <c r="K241" s="338"/>
      <c r="L241" s="338"/>
      <c r="M241" s="338"/>
      <c r="N241" s="338"/>
      <c r="O241" s="338"/>
      <c r="P241" s="338"/>
      <c r="Q241" s="338"/>
      <c r="R241" s="338"/>
      <c r="S241" s="338"/>
      <c r="T241" s="338"/>
      <c r="U241" s="338"/>
      <c r="V241" s="338"/>
      <c r="W241" s="338"/>
      <c r="X241" s="338"/>
      <c r="Y241" s="338"/>
      <c r="Z241" s="338"/>
      <c r="AA241" s="338"/>
      <c r="AB241" s="338"/>
      <c r="AC241" s="338"/>
      <c r="AD241" s="338"/>
      <c r="AE241" s="338"/>
      <c r="AF241" s="338"/>
      <c r="AG241" s="338"/>
      <c r="AH241" s="338"/>
      <c r="AI241" s="338"/>
      <c r="AJ241" s="338"/>
      <c r="AK241" s="338"/>
      <c r="AL241" s="338"/>
      <c r="AM241" s="338"/>
      <c r="AN241" s="338"/>
      <c r="AO241" s="338"/>
      <c r="AP241" s="338"/>
      <c r="AQ241" s="338"/>
      <c r="AR241" s="338"/>
      <c r="AS241" s="338"/>
      <c r="AT241" s="338"/>
      <c r="AU241" s="338"/>
      <c r="AV241" s="338"/>
      <c r="AW241" s="338"/>
      <c r="AX241" s="338"/>
      <c r="AY241" s="338"/>
      <c r="AZ241" s="338"/>
      <c r="BA241" s="338"/>
      <c r="BB241" s="338"/>
      <c r="BC241" s="338"/>
      <c r="BD241" s="341">
        <v>1</v>
      </c>
      <c r="BE241" s="344"/>
      <c r="BF241" s="344"/>
    </row>
    <row r="242" spans="1:58" ht="21" customHeight="1" thickBot="1" x14ac:dyDescent="0.3">
      <c r="A242" s="338">
        <v>1</v>
      </c>
      <c r="B242" s="930"/>
      <c r="C242" s="416">
        <f t="shared" ref="C242:H242" ca="1" si="15">INDEX(CELL("largeur",C242),1,1)</f>
        <v>13</v>
      </c>
      <c r="D242" s="416">
        <f t="shared" ca="1" si="15"/>
        <v>21</v>
      </c>
      <c r="E242" s="416">
        <f t="shared" ca="1" si="15"/>
        <v>13</v>
      </c>
      <c r="F242" s="416">
        <f t="shared" ca="1" si="15"/>
        <v>13</v>
      </c>
      <c r="G242" s="416">
        <f t="shared" ca="1" si="15"/>
        <v>13</v>
      </c>
      <c r="H242" s="759">
        <f t="shared" ca="1" si="15"/>
        <v>13</v>
      </c>
      <c r="I242" s="338"/>
      <c r="J242" s="338"/>
      <c r="K242" s="338"/>
      <c r="L242" s="338"/>
      <c r="M242" s="338"/>
      <c r="N242" s="338"/>
      <c r="O242" s="338"/>
      <c r="P242" s="338"/>
      <c r="Q242" s="338"/>
      <c r="R242" s="338"/>
      <c r="S242" s="338"/>
      <c r="T242" s="338"/>
      <c r="U242" s="338"/>
      <c r="BC242" s="338"/>
      <c r="BD242" s="341">
        <v>1</v>
      </c>
      <c r="BE242" s="344"/>
      <c r="BF242" s="344"/>
    </row>
    <row r="243" spans="1:58" ht="21" customHeight="1" x14ac:dyDescent="0.25">
      <c r="A243" s="338">
        <v>1</v>
      </c>
      <c r="B243" s="338">
        <v>1</v>
      </c>
      <c r="C243" s="338">
        <v>1</v>
      </c>
      <c r="D243" s="338">
        <v>1</v>
      </c>
      <c r="E243" s="338">
        <v>1</v>
      </c>
      <c r="F243" s="338">
        <v>1</v>
      </c>
      <c r="G243" s="338">
        <v>1</v>
      </c>
      <c r="H243" s="338">
        <v>1</v>
      </c>
      <c r="I243" s="338"/>
      <c r="J243" s="338"/>
      <c r="K243" s="338"/>
      <c r="L243" s="338"/>
      <c r="M243" s="338"/>
      <c r="N243" s="338"/>
      <c r="O243" s="338"/>
      <c r="P243" s="338"/>
      <c r="Q243" s="338"/>
      <c r="R243" s="338"/>
      <c r="S243" s="338"/>
      <c r="T243" s="338"/>
      <c r="U243" s="338"/>
      <c r="BC243" s="338"/>
      <c r="BD243" s="760" t="s">
        <v>4694</v>
      </c>
      <c r="BE243" s="344"/>
      <c r="BF243" s="344"/>
    </row>
    <row r="244" spans="1:58" x14ac:dyDescent="0.25">
      <c r="A244" s="341">
        <v>1</v>
      </c>
      <c r="B244" s="341">
        <v>1</v>
      </c>
      <c r="C244" s="341">
        <v>1</v>
      </c>
      <c r="D244" s="341">
        <v>1</v>
      </c>
      <c r="E244" s="341">
        <v>1</v>
      </c>
      <c r="F244" s="341">
        <v>1</v>
      </c>
      <c r="G244" s="341">
        <v>1</v>
      </c>
      <c r="H244" s="341">
        <v>1</v>
      </c>
      <c r="I244" s="341">
        <v>1</v>
      </c>
      <c r="J244" s="341">
        <v>1</v>
      </c>
      <c r="K244" s="341">
        <v>1</v>
      </c>
      <c r="L244" s="341">
        <v>1</v>
      </c>
      <c r="M244" s="341">
        <v>1</v>
      </c>
      <c r="N244" s="341">
        <v>1</v>
      </c>
      <c r="O244" s="341">
        <v>1</v>
      </c>
      <c r="P244" s="341">
        <v>1</v>
      </c>
      <c r="Q244" s="341">
        <v>1</v>
      </c>
      <c r="R244" s="341">
        <v>1</v>
      </c>
      <c r="S244" s="341">
        <v>1</v>
      </c>
      <c r="T244" s="341">
        <v>1</v>
      </c>
      <c r="U244" s="341">
        <v>1</v>
      </c>
      <c r="V244" s="341">
        <v>1</v>
      </c>
      <c r="W244" s="341">
        <v>1</v>
      </c>
      <c r="X244" s="341">
        <v>1</v>
      </c>
      <c r="Y244" s="341">
        <v>1</v>
      </c>
      <c r="Z244" s="341">
        <v>1</v>
      </c>
      <c r="AA244" s="341">
        <v>1</v>
      </c>
      <c r="AB244" s="341">
        <v>1</v>
      </c>
      <c r="AC244" s="341">
        <v>1</v>
      </c>
      <c r="AD244" s="341">
        <v>1</v>
      </c>
      <c r="AE244" s="341">
        <v>1</v>
      </c>
      <c r="AF244" s="341">
        <v>1</v>
      </c>
      <c r="AG244" s="341">
        <v>1</v>
      </c>
      <c r="AH244" s="341">
        <v>1</v>
      </c>
      <c r="AI244" s="341">
        <v>1</v>
      </c>
      <c r="AJ244" s="341">
        <v>1</v>
      </c>
      <c r="AK244" s="341">
        <v>1</v>
      </c>
      <c r="AL244" s="341">
        <v>1</v>
      </c>
      <c r="AM244" s="341">
        <v>1</v>
      </c>
      <c r="AN244" s="341">
        <v>1</v>
      </c>
      <c r="AO244" s="341">
        <v>1</v>
      </c>
      <c r="AP244" s="341">
        <v>1</v>
      </c>
      <c r="AQ244" s="341">
        <v>1</v>
      </c>
      <c r="AR244" s="341">
        <v>1</v>
      </c>
      <c r="AS244" s="341">
        <v>1</v>
      </c>
      <c r="AT244" s="341">
        <v>1</v>
      </c>
      <c r="AU244" s="341">
        <v>1</v>
      </c>
      <c r="AV244" s="341">
        <v>1</v>
      </c>
      <c r="AW244" s="341">
        <v>1</v>
      </c>
      <c r="AX244" s="341">
        <v>1</v>
      </c>
      <c r="AY244" s="341">
        <v>1</v>
      </c>
      <c r="AZ244" s="341">
        <v>1</v>
      </c>
      <c r="BA244" s="341">
        <v>1</v>
      </c>
      <c r="BB244" s="341">
        <v>1</v>
      </c>
      <c r="BC244" s="341">
        <v>1</v>
      </c>
      <c r="BD244" s="761" t="str">
        <f>ADDRESS(ROW(),COLUMN(),4)</f>
        <v>BD244</v>
      </c>
      <c r="BE244" s="344"/>
      <c r="BF244" s="344"/>
    </row>
  </sheetData>
  <mergeCells count="61">
    <mergeCell ref="V35:Y35"/>
    <mergeCell ref="AL35:AO35"/>
    <mergeCell ref="B41:B42"/>
    <mergeCell ref="C41:H41"/>
    <mergeCell ref="B43:B100"/>
    <mergeCell ref="C48:H49"/>
    <mergeCell ref="D54:H55"/>
    <mergeCell ref="D57:H58"/>
    <mergeCell ref="D60:H61"/>
    <mergeCell ref="D63:H64"/>
    <mergeCell ref="B106:B107"/>
    <mergeCell ref="C106:F106"/>
    <mergeCell ref="D66:H67"/>
    <mergeCell ref="C70:H71"/>
    <mergeCell ref="O74:S74"/>
    <mergeCell ref="C75:H76"/>
    <mergeCell ref="N75:N84"/>
    <mergeCell ref="O81:S82"/>
    <mergeCell ref="O87:U87"/>
    <mergeCell ref="O88:U88"/>
    <mergeCell ref="O102:O103"/>
    <mergeCell ref="P102:P103"/>
    <mergeCell ref="O105:O106"/>
    <mergeCell ref="B167:B168"/>
    <mergeCell ref="C167:F167"/>
    <mergeCell ref="B108:B134"/>
    <mergeCell ref="C108:H108"/>
    <mergeCell ref="F111:H111"/>
    <mergeCell ref="C122:H123"/>
    <mergeCell ref="C125:H125"/>
    <mergeCell ref="B137:B138"/>
    <mergeCell ref="C137:F137"/>
    <mergeCell ref="B139:B165"/>
    <mergeCell ref="C139:H139"/>
    <mergeCell ref="F142:H142"/>
    <mergeCell ref="C153:H154"/>
    <mergeCell ref="C156:H156"/>
    <mergeCell ref="C234:D234"/>
    <mergeCell ref="G234:H234"/>
    <mergeCell ref="B169:B201"/>
    <mergeCell ref="C169:H169"/>
    <mergeCell ref="C189:H190"/>
    <mergeCell ref="C192:H192"/>
    <mergeCell ref="B204:B216"/>
    <mergeCell ref="C214:K214"/>
    <mergeCell ref="C235:C239"/>
    <mergeCell ref="D235:D239"/>
    <mergeCell ref="N218:T218"/>
    <mergeCell ref="B219:B230"/>
    <mergeCell ref="M219:M240"/>
    <mergeCell ref="N220:O221"/>
    <mergeCell ref="P220:T221"/>
    <mergeCell ref="N222:N223"/>
    <mergeCell ref="O222:O223"/>
    <mergeCell ref="P222:S223"/>
    <mergeCell ref="T222:T223"/>
    <mergeCell ref="C228:K228"/>
    <mergeCell ref="N236:T236"/>
    <mergeCell ref="C240:H240"/>
    <mergeCell ref="C232:H232"/>
    <mergeCell ref="B233:B242"/>
  </mergeCells>
  <conditionalFormatting sqref="B232">
    <cfRule type="expression" dxfId="20" priority="1" stopIfTrue="1">
      <formula>OR(ROW()=CELL("ligne"),COLUMN()=CELL("colonne"))</formula>
    </cfRule>
  </conditionalFormatting>
  <conditionalFormatting sqref="E113 E119">
    <cfRule type="cellIs" dxfId="19" priority="20" operator="equal">
      <formula>#REF!</formula>
    </cfRule>
    <cfRule type="cellIs" dxfId="18" priority="21" operator="equal">
      <formula>#REF!</formula>
    </cfRule>
  </conditionalFormatting>
  <conditionalFormatting sqref="E113">
    <cfRule type="cellIs" dxfId="17" priority="18" operator="equal">
      <formula>#REF!</formula>
    </cfRule>
    <cfRule type="cellIs" dxfId="16" priority="19" operator="equal">
      <formula>#REF!</formula>
    </cfRule>
  </conditionalFormatting>
  <conditionalFormatting sqref="E144 E150">
    <cfRule type="cellIs" dxfId="15" priority="12" operator="equal">
      <formula>#REF!</formula>
    </cfRule>
    <cfRule type="cellIs" dxfId="14" priority="13" operator="equal">
      <formula>#REF!</formula>
    </cfRule>
  </conditionalFormatting>
  <conditionalFormatting sqref="E144">
    <cfRule type="cellIs" dxfId="13" priority="10" operator="equal">
      <formula>#REF!</formula>
    </cfRule>
    <cfRule type="cellIs" dxfId="12" priority="11" operator="equal">
      <formula>#REF!</formula>
    </cfRule>
  </conditionalFormatting>
  <conditionalFormatting sqref="G113">
    <cfRule type="cellIs" dxfId="11" priority="16" operator="equal">
      <formula>#REF!</formula>
    </cfRule>
    <cfRule type="cellIs" dxfId="10" priority="17" operator="equal">
      <formula>#REF!</formula>
    </cfRule>
  </conditionalFormatting>
  <conditionalFormatting sqref="G179">
    <cfRule type="cellIs" dxfId="9" priority="2" operator="equal">
      <formula>#REF!</formula>
    </cfRule>
    <cfRule type="cellIs" dxfId="8" priority="3" operator="equal">
      <formula>#REF!</formula>
    </cfRule>
  </conditionalFormatting>
  <conditionalFormatting sqref="I103:I104">
    <cfRule type="cellIs" dxfId="7" priority="14" operator="equal">
      <formula>#REF!</formula>
    </cfRule>
    <cfRule type="cellIs" dxfId="6" priority="15" operator="equal">
      <formula>#REF!</formula>
    </cfRule>
  </conditionalFormatting>
  <conditionalFormatting sqref="J113">
    <cfRule type="cellIs" dxfId="5" priority="8" operator="equal">
      <formula>#REF!</formula>
    </cfRule>
    <cfRule type="cellIs" dxfId="4" priority="9" operator="equal">
      <formula>#REF!</formula>
    </cfRule>
  </conditionalFormatting>
  <conditionalFormatting sqref="J119">
    <cfRule type="cellIs" dxfId="3" priority="6" operator="equal">
      <formula>#REF!</formula>
    </cfRule>
    <cfRule type="cellIs" dxfId="2" priority="7" operator="equal">
      <formula>#REF!</formula>
    </cfRule>
  </conditionalFormatting>
  <conditionalFormatting sqref="J150">
    <cfRule type="cellIs" dxfId="1" priority="4" operator="equal">
      <formula>#REF!</formula>
    </cfRule>
    <cfRule type="cellIs" dxfId="0" priority="5" operator="equal">
      <formula>#REF!</formula>
    </cfRule>
  </conditionalFormatting>
  <hyperlinks>
    <hyperlink ref="D92" r:id="rId1" xr:uid="{8DB7E980-FA48-41D0-9790-E5315CD1DE63}"/>
    <hyperlink ref="D94" r:id="rId2" xr:uid="{F2DFF043-BCA0-45B1-B23A-9EB2652785AD}"/>
    <hyperlink ref="F94" r:id="rId3" xr:uid="{502F0AC1-52EC-463A-8E0C-13EC156D2D94}"/>
    <hyperlink ref="F92" r:id="rId4" xr:uid="{28A47BDA-6441-4272-AB44-3822A25D2B46}"/>
    <hyperlink ref="D99" r:id="rId5" xr:uid="{4E59C1FC-192A-4917-B3A0-98BB1218CE3F}"/>
    <hyperlink ref="Q72" r:id="rId6" xr:uid="{0E501817-0A81-4743-9159-C66805A6FC10}"/>
    <hyperlink ref="J31" r:id="rId7" xr:uid="{6268491C-24EF-4248-8126-3B3EB96D5377}"/>
    <hyperlink ref="O87" r:id="rId8" xr:uid="{38E2B89C-728A-4051-AB6D-A7FA3F35C96F}"/>
    <hyperlink ref="O88" r:id="rId9" xr:uid="{02C912DF-372F-423B-BDB6-D761A63C02B0}"/>
    <hyperlink ref="R60" r:id="rId10" xr:uid="{93796EA2-0D81-4554-81A3-8EE6F008A913}"/>
  </hyperlinks>
  <pageMargins left="0.7" right="0.7" top="0.75" bottom="0.75" header="0.3" footer="0.3"/>
  <pageSetup paperSize="9"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BCE11-0AA6-466E-B640-3F18DE609721}">
  <dimension ref="A1:AE171"/>
  <sheetViews>
    <sheetView showGridLines="0" workbookViewId="0">
      <selection activeCell="F9" sqref="F9"/>
    </sheetView>
  </sheetViews>
  <sheetFormatPr baseColWidth="10" defaultColWidth="9.140625" defaultRowHeight="15.75" x14ac:dyDescent="0.25"/>
  <cols>
    <col min="1" max="1" width="9.140625" style="28"/>
    <col min="2" max="2" width="31.28515625" style="993" customWidth="1"/>
    <col min="3" max="3" width="45.7109375" style="993" customWidth="1"/>
    <col min="4" max="4" width="22" style="993" customWidth="1"/>
    <col min="5" max="5" width="12.7109375" style="993" customWidth="1"/>
    <col min="6" max="6" width="16.7109375" style="993" customWidth="1"/>
    <col min="7" max="7" width="56.7109375" style="993" customWidth="1"/>
    <col min="8" max="8" width="44.7109375" style="993" customWidth="1"/>
    <col min="9" max="9" width="28.28515625" style="1184" customWidth="1"/>
    <col min="10" max="10" width="20" style="993" customWidth="1"/>
    <col min="11" max="11" width="13" style="993" customWidth="1"/>
    <col min="12" max="12" width="16" style="993" customWidth="1"/>
    <col min="13" max="13" width="24" style="993" customWidth="1"/>
    <col min="14" max="15" width="42" style="993" customWidth="1"/>
    <col min="16" max="16" width="12" style="993" hidden="1" customWidth="1"/>
    <col min="17" max="17" width="12" style="1184" hidden="1" customWidth="1"/>
    <col min="18" max="20" width="12" style="993" hidden="1" customWidth="1"/>
    <col min="21" max="21" width="12" style="998" hidden="1" customWidth="1"/>
    <col min="22" max="22" width="12" style="993" hidden="1" customWidth="1"/>
    <col min="23" max="23" width="12" style="998" hidden="1" customWidth="1"/>
    <col min="24" max="25" width="45.7109375" style="993" hidden="1" customWidth="1"/>
    <col min="26" max="26" width="17.7109375" style="998" hidden="1" customWidth="1"/>
    <col min="27" max="27" width="20.7109375" style="998" hidden="1" customWidth="1"/>
    <col min="28" max="28" width="23.7109375" style="998" hidden="1" customWidth="1"/>
    <col min="29" max="29" width="9.140625" style="993" customWidth="1"/>
    <col min="30" max="16384" width="9.140625" style="993"/>
  </cols>
  <sheetData>
    <row r="1" spans="1:31" ht="27.95" customHeight="1" x14ac:dyDescent="0.25">
      <c r="A1" s="1209"/>
      <c r="B1" s="1327" t="s">
        <v>3227</v>
      </c>
      <c r="C1" s="1325"/>
      <c r="D1" s="1325"/>
      <c r="E1" s="1325"/>
      <c r="F1" s="1325"/>
      <c r="G1" s="1325"/>
      <c r="H1" s="1325"/>
      <c r="I1" s="1324" t="s">
        <v>3607</v>
      </c>
      <c r="J1" s="1324"/>
      <c r="K1" s="1324"/>
      <c r="L1" s="1324"/>
      <c r="M1" s="1324"/>
      <c r="N1" s="1324"/>
      <c r="O1" s="1324"/>
      <c r="P1" s="1323"/>
      <c r="Q1" s="1323"/>
      <c r="R1" s="1323"/>
      <c r="S1" s="1323"/>
      <c r="T1" s="1323"/>
      <c r="U1" s="1322"/>
      <c r="V1" s="1323"/>
      <c r="W1" s="1322"/>
      <c r="X1" s="1323"/>
      <c r="Y1" s="1323"/>
      <c r="Z1" s="1322"/>
      <c r="AA1" s="1322"/>
      <c r="AB1" s="1322"/>
      <c r="AC1" s="1321"/>
      <c r="AD1" s="1321"/>
      <c r="AE1" s="1321"/>
    </row>
    <row r="2" spans="1:31" ht="35.1" customHeight="1" x14ac:dyDescent="0.25">
      <c r="A2" s="1209"/>
      <c r="B2" s="1318" t="s">
        <v>2226</v>
      </c>
      <c r="C2" s="1318"/>
      <c r="D2" s="1318"/>
      <c r="E2" s="1318"/>
      <c r="F2" s="1318"/>
      <c r="G2" s="1318"/>
      <c r="H2" s="1320"/>
      <c r="I2" s="1319" t="s">
        <v>3608</v>
      </c>
      <c r="J2" s="1318"/>
      <c r="K2" s="1318"/>
      <c r="L2" s="1318"/>
      <c r="M2" s="1318"/>
      <c r="N2" s="1318"/>
      <c r="O2" s="1318"/>
      <c r="T2" s="1314" t="s">
        <v>3988</v>
      </c>
      <c r="U2" s="1317"/>
      <c r="V2" s="1316"/>
      <c r="W2" s="1317"/>
      <c r="X2" s="1316"/>
      <c r="Y2" s="1315" t="s">
        <v>3594</v>
      </c>
      <c r="Z2" s="1315" t="s">
        <v>2409</v>
      </c>
      <c r="AA2" s="1315"/>
      <c r="AB2" s="1314" t="s">
        <v>3605</v>
      </c>
      <c r="AC2" s="1014" t="s">
        <v>4701</v>
      </c>
      <c r="AD2" s="1313"/>
      <c r="AE2" s="1313"/>
    </row>
    <row r="3" spans="1:31" ht="21.95" customHeight="1" thickBot="1" x14ac:dyDescent="0.3">
      <c r="A3" s="1209"/>
      <c r="B3" s="1021" t="s">
        <v>2829</v>
      </c>
      <c r="C3" s="1312"/>
      <c r="D3" s="1311"/>
      <c r="E3" s="1311"/>
      <c r="F3" s="1311"/>
      <c r="G3" s="1311"/>
      <c r="H3" s="1311"/>
      <c r="I3" s="1291" t="s">
        <v>3609</v>
      </c>
      <c r="J3" s="1308" t="str">
        <f>$C$4</f>
        <v>Dans le cadre du plan pluriannuel de diversification des protéines, l’établissement veut introduire progressivement des alternatives végétales sans présenter cela comme une punition ou une opposition aux plats carnés. Le premier test concerne un chili végétal aux haricots rouges, puis un dhal de pois cassés et une sauce bolognaise aux lentilles. Le responsable doit comparer le coût portion, le temps de préparation, le gaspillage et la satisfaction des convives. Le formateur insiste sur la lecture nutritionnelle : la recette doit contenir une vraie source de protéines, une garniture cohérente, une sauce et une texture agréable en bouche. Le seitan est envisagé seulement ponctuellement, avec contrôle obligatoire de l’allergène gluten.</v>
      </c>
      <c r="K3" s="1308"/>
      <c r="L3" s="1308"/>
      <c r="M3" s="1308"/>
      <c r="N3" s="1308"/>
      <c r="O3" s="1308"/>
      <c r="P3" s="1283" t="s">
        <v>2459</v>
      </c>
      <c r="Q3" s="1283"/>
      <c r="R3" s="1283"/>
      <c r="S3" s="1287"/>
      <c r="T3" s="1310" t="s">
        <v>3593</v>
      </c>
      <c r="U3" s="1285"/>
      <c r="V3" s="1283"/>
      <c r="W3" s="1282" t="s">
        <v>4388</v>
      </c>
      <c r="X3" s="1283"/>
      <c r="Y3" s="1284" t="s">
        <v>3595</v>
      </c>
      <c r="Z3" s="1283" t="s">
        <v>3596</v>
      </c>
      <c r="AA3" s="1283"/>
      <c r="AB3" s="1283" t="s">
        <v>4389</v>
      </c>
      <c r="AC3" s="1114"/>
      <c r="AD3" s="1114"/>
      <c r="AE3" s="1114"/>
    </row>
    <row r="4" spans="1:31" ht="51" customHeight="1" thickBot="1" x14ac:dyDescent="0.3">
      <c r="A4" s="1209"/>
      <c r="B4" s="1309" t="s">
        <v>3225</v>
      </c>
      <c r="C4" s="1102" t="s">
        <v>2225</v>
      </c>
      <c r="D4" s="1102"/>
      <c r="E4" s="1102"/>
      <c r="F4" s="1102"/>
      <c r="G4" s="1102"/>
      <c r="H4" s="1103"/>
      <c r="I4" s="1291" t="s">
        <v>3610</v>
      </c>
      <c r="J4" s="1308" t="str">
        <f>IF($C$4="","",$S$4)</f>
        <v>dans le cadre du plan pluriannuel de diversification des proteines l etablissement veut introduire progressivement des alternatives vegetales sans presenter cela comme une punition ou une opposition aux plats carnes le premier test concerne un chili vegetal aux haricots rouges puis un dhal de pois casses et une sauce bolognaise aux lentilles le responsable doit comparer le cout portion le temps de preparation le gaspillage et la satisfaction des convives le formateur insiste sur la lecture nutritionnelle la recette doit contenir une vraie source de proteines une garniture coherente une sauce et une texture agreable en bouche le seitan est envisage seulement ponctuellement avec controle obligatoire de l allergene gluten</v>
      </c>
      <c r="K4" s="1308"/>
      <c r="L4" s="1308"/>
      <c r="M4" s="1308"/>
      <c r="N4" s="1308"/>
      <c r="O4" s="1307"/>
      <c r="P4" s="1306" t="str">
        <f>IF($C$4="","",SUBSTITUTE(SUBSTITUTE(SUBSTITUTE(SUBSTITUTE(SUBSTITUTE(SUBSTITUTE(SUBSTITUTE(SUBSTITUTE(SUBSTITUTE(SUBSTITUTE(CLEAN($C$4),CHAR(160)," "),"."," "),","," "),";"," "),":"," "),"!"," "),"?"," "),"("," "),")"," "),"["," "))</f>
        <v xml:space="preserve">Dans le cadre du plan pluriannuel de diversification des protéines  l’établissement veut introduire progressivement des alternatives végétales sans présenter cela comme une punition ou une opposition aux plats carnés  Le premier test concerne un chili végétal aux haricots rouges  puis un dhal de pois cassés et une sauce bolognaise aux lentilles  Le responsable doit comparer le coût portion  le temps de préparation  le gaspillage et la satisfaction des convives  Le formateur insiste sur la lecture nutritionnelle   la recette doit contenir une vraie source de protéines  une garniture cohérente  une sauce et une texture agréable en bouche  Le seitan est envisagé seulement ponctuellement  avec contrôle obligatoire de l’allergène gluten </v>
      </c>
      <c r="Q4" s="1306" t="str">
        <f>IF($P$4="","",SUBSTITUTE(SUBSTITUTE(SUBSTITUTE(SUBSTITUTE(SUBSTITUTE(SUBSTITUTE(SUBSTITUTE(SUBSTITUTE($P$4,"]"," "),"-"," "),"/"," "),"\"," "),"’"," "),"'"," "),"`"," "),"="," "))</f>
        <v xml:space="preserve">Dans le cadre du plan pluriannuel de diversification des protéines  l établissement veut introduire progressivement des alternatives végétales sans présenter cela comme une punition ou une opposition aux plats carnés  Le premier test concerne un chili végétal aux haricots rouges  puis un dhal de pois cassés et une sauce bolognaise aux lentilles  Le responsable doit comparer le coût portion  le temps de préparation  le gaspillage et la satisfaction des convives  Le formateur insiste sur la lecture nutritionnelle   la recette doit contenir une vraie source de protéines  une garniture cohérente  une sauce et une texture agréable en bouche  Le seitan est envisagé seulement ponctuellement  avec contrôle obligatoire de l allergène gluten </v>
      </c>
      <c r="R4" s="1306" t="str">
        <f>IF($Q$4="","",SUBSTITUTE(SUBSTITUTE(SUBSTITUTE(SUBSTITUTE(SUBSTITUTE(SUBSTITUTE(SUBSTITUTE(SUBSTITUTE(SUBSTITUTE(SUBSTITUTE(SUBSTITUTE(SUBSTITUTE($Q$4,"é","e"),"è","e"),"ê","e"),"ë","e"),"É","e"),"È","e"),"Ê","e"),"Ë","e"),"à","a"),"â","a"),"ä","a"),"À","a"))</f>
        <v xml:space="preserve">Dans le cadre du plan pluriannuel de diversification des proteines  l etablissement veut introduire progressivement des alternatives vegetales sans presenter cela comme une punition ou une opposition aux plats carnes  Le premier test concerne un chili vegetal aux haricots rouges  puis un dhal de pois casses et une sauce bolognaise aux lentilles  Le responsable doit comparer le coût portion  le temps de preparation  le gaspillage et la satisfaction des convives  Le formateur insiste sur la lecture nutritionnelle   la recette doit contenir une vraie source de proteines  une garniture coherente  une sauce et une texture agreable en bouche  Le seitan est envisage seulement ponctuellement  avec contrôle obligatoire de l allergene gluten </v>
      </c>
      <c r="S4" s="1305" t="str">
        <f>IF($R$4="","",LOWER(TRIM(SUBSTITUTE(SUBSTITUTE(SUBSTITUTE(SUBSTITUTE(SUBSTITUTE(SUBSTITUTE(SUBSTITUTE(SUBSTITUTE(SUBSTITUTE(SUBSTITUTE(SUBSTITUTE(SUBSTITUTE(SUBSTITUTE(SUBSTITUTE(SUBSTITUTE(SUBSTITUTE(SUBSTITUTE(SUBSTITUTE($R$4,"Â","a"),"Ä","a"),"î","i"),"ï","i"),"Î","i"),"Ï","i"),"ô","o"),"ö","o"),"Ô","o"),"Ö","o"),"ù","u"),"û","u"),"ü","u"),"Ù","u"),"Û","u"),"Ü","u"),"ç","c"),"Ç","c"))))</f>
        <v>dans le cadre du plan pluriannuel de diversification des proteines l etablissement veut introduire progressivement des alternatives vegetales sans presenter cela comme une punition ou une opposition aux plats carnes le premier test concerne un chili vegetal aux haricots rouges puis un dhal de pois casses et une sauce bolognaise aux lentilles le responsable doit comparer le cout portion le temps de preparation le gaspillage et la satisfaction des convives le formateur insiste sur la lecture nutritionnelle la recette doit contenir une vraie source de proteines une garniture coherente une sauce et une texture agreable en bouche le seitan est envisage seulement ponctuellement avec controle obligatoire de l allergene gluten</v>
      </c>
      <c r="T4" s="1304" t="s">
        <v>4390</v>
      </c>
      <c r="U4" s="1285"/>
      <c r="V4" s="1283"/>
      <c r="W4" s="1282" t="s">
        <v>4391</v>
      </c>
      <c r="X4" s="1283"/>
      <c r="Y4" s="1284" t="s">
        <v>3597</v>
      </c>
      <c r="Z4" s="1283" t="s">
        <v>3598</v>
      </c>
      <c r="AA4" s="1283"/>
      <c r="AB4" s="1282" t="s">
        <v>4392</v>
      </c>
      <c r="AC4" s="1114"/>
      <c r="AD4" s="1114"/>
      <c r="AE4" s="1114"/>
    </row>
    <row r="5" spans="1:31" ht="66.75" customHeight="1" x14ac:dyDescent="0.25">
      <c r="A5" s="1209"/>
      <c r="B5" s="1303" t="s">
        <v>3226</v>
      </c>
      <c r="C5" s="1302" t="str">
        <f>LOWER(TRIM(SUBSTITUTE(SUBSTITUTE(SUBSTITUTE(SUBSTITUTE(SUBSTITUTE(SUBSTITUTE(SUBSTITUTE(SUBSTITUTE(SUBSTITUTE(SUBSTITUTE(C4,CHAR(160)," "),"."," "),","," "),";"," "),":"," "),"-"," "),"/"," "),CHAR(10)," "),"’"," "),CHAR(9)," ")))</f>
        <v>dans le cadre du plan pluriannuel de diversification des protéines l établissement veut introduire progressivement des alternatives végétales sans présenter cela comme une punition ou une opposition aux plats carnés le premier test concerne un chili végétal aux haricots rouges puis un dhal de pois cassés et une sauce bolognaise aux lentilles le responsable doit comparer le coût portion le temps de préparation le gaspillage et la satisfaction des convives le formateur insiste sur la lecture nutritionnelle la recette doit contenir une vraie source de protéines une garniture cohérente une sauce et une texture agréable en bouche le seitan est envisagé seulement ponctuellement avec contrôle obligatoire de l allergène gluten</v>
      </c>
      <c r="D5" s="1301"/>
      <c r="E5" s="1301"/>
      <c r="F5" s="1301"/>
      <c r="G5" s="1301"/>
      <c r="H5" s="1301"/>
      <c r="I5" s="1291" t="s">
        <v>3611</v>
      </c>
      <c r="J5" s="1300">
        <f>COUNTIF($V$10:$V$170,"OUI")</f>
        <v>17</v>
      </c>
      <c r="K5" s="1299" t="s">
        <v>3612</v>
      </c>
      <c r="L5" s="1298"/>
      <c r="M5" s="1297">
        <f>SUM($W$10:$W$170)</f>
        <v>27</v>
      </c>
      <c r="N5" s="1296" t="s">
        <v>3613</v>
      </c>
      <c r="O5" s="1295" t="str">
        <f>IF($J$5=0,"Aucune lecture CFA terrain",IF($J$5&lt;3,"Réponse CFA courte mais exploitable",IF($J$5&lt;7,"Réponse CFA correcte",IF($J$5&lt;12,"Réponse CFA riche","Réponse très complète"))))</f>
        <v>Réponse très complète</v>
      </c>
      <c r="P5" s="1283"/>
      <c r="Q5" s="1283"/>
      <c r="R5" s="1283"/>
      <c r="S5" s="1287"/>
      <c r="T5" s="1283" t="s">
        <v>3987</v>
      </c>
      <c r="U5" s="1285"/>
      <c r="V5" s="1283"/>
      <c r="W5" s="1282" t="s">
        <v>4393</v>
      </c>
      <c r="X5" s="1283"/>
      <c r="Y5" s="1284" t="s">
        <v>3599</v>
      </c>
      <c r="Z5" s="1283" t="s">
        <v>3600</v>
      </c>
      <c r="AA5" s="1283"/>
      <c r="AB5" s="1282" t="s">
        <v>3989</v>
      </c>
      <c r="AC5" s="1114"/>
      <c r="AD5" s="1114"/>
      <c r="AE5" s="1114"/>
    </row>
    <row r="6" spans="1:31" ht="45" customHeight="1" thickBot="1" x14ac:dyDescent="0.3">
      <c r="A6" s="1209"/>
      <c r="B6" s="1294" t="s">
        <v>2227</v>
      </c>
      <c r="C6" s="1293" t="s">
        <v>4394</v>
      </c>
      <c r="D6" s="1293"/>
      <c r="E6" s="1293"/>
      <c r="F6" s="1293"/>
      <c r="G6" s="1293"/>
      <c r="H6" s="1292"/>
      <c r="I6" s="1291" t="s">
        <v>3614</v>
      </c>
      <c r="J6" s="1290" t="s">
        <v>3615</v>
      </c>
      <c r="K6" s="1289"/>
      <c r="L6" s="1289"/>
      <c r="M6" s="1289"/>
      <c r="N6" s="1289"/>
      <c r="O6" s="1288"/>
      <c r="P6" s="1283"/>
      <c r="Q6" s="1283"/>
      <c r="R6" s="1283"/>
      <c r="S6" s="1287"/>
      <c r="T6" s="1282" t="s">
        <v>4395</v>
      </c>
      <c r="U6" s="1285"/>
      <c r="V6" s="1283"/>
      <c r="W6" s="1285"/>
      <c r="X6" s="1283"/>
      <c r="Y6" s="1284" t="s">
        <v>3601</v>
      </c>
      <c r="Z6" s="1283" t="s">
        <v>3602</v>
      </c>
      <c r="AA6" s="1283"/>
      <c r="AB6" s="1282" t="s">
        <v>4396</v>
      </c>
      <c r="AC6" s="1114"/>
      <c r="AD6" s="1114"/>
      <c r="AE6" s="1114"/>
    </row>
    <row r="7" spans="1:31" ht="27.95" customHeight="1" thickBot="1" x14ac:dyDescent="0.3">
      <c r="A7" s="1209"/>
      <c r="B7" s="1286" t="s">
        <v>4397</v>
      </c>
      <c r="C7" s="1219"/>
      <c r="D7" s="1219"/>
      <c r="E7" s="1219"/>
      <c r="F7" s="1219"/>
      <c r="G7" s="1219"/>
      <c r="H7" s="1219"/>
      <c r="I7" s="1219"/>
      <c r="J7" s="1219"/>
      <c r="K7" s="1219"/>
      <c r="L7" s="1219"/>
      <c r="M7" s="1219"/>
      <c r="N7" s="1219"/>
      <c r="O7" s="1219"/>
      <c r="T7" s="1283"/>
      <c r="U7" s="1285"/>
      <c r="V7" s="1283"/>
      <c r="W7" s="1285"/>
      <c r="X7" s="1283"/>
      <c r="Y7" s="1284" t="s">
        <v>3603</v>
      </c>
      <c r="Z7" s="1283" t="s">
        <v>3604</v>
      </c>
      <c r="AA7" s="1283"/>
      <c r="AB7" s="1282" t="s">
        <v>3606</v>
      </c>
      <c r="AC7" s="1114"/>
      <c r="AD7" s="1114"/>
      <c r="AE7" s="1114"/>
    </row>
    <row r="8" spans="1:31" ht="27.95" customHeight="1" x14ac:dyDescent="0.25">
      <c r="A8" s="1209"/>
      <c r="B8" s="1280" t="s">
        <v>1719</v>
      </c>
      <c r="C8" s="1280" t="s">
        <v>2228</v>
      </c>
      <c r="D8" s="1280" t="s">
        <v>2229</v>
      </c>
      <c r="E8" s="1280" t="s">
        <v>2230</v>
      </c>
      <c r="F8" s="1280" t="s">
        <v>2231</v>
      </c>
      <c r="G8" s="1280" t="s">
        <v>2232</v>
      </c>
      <c r="H8" s="1280" t="s">
        <v>2233</v>
      </c>
      <c r="I8" s="1281" t="s">
        <v>1719</v>
      </c>
      <c r="J8" s="1281" t="s">
        <v>3616</v>
      </c>
      <c r="K8" s="1281" t="s">
        <v>3617</v>
      </c>
      <c r="L8" s="1281" t="s">
        <v>2411</v>
      </c>
      <c r="M8" s="1280" t="s">
        <v>3618</v>
      </c>
      <c r="N8" s="1279" t="s">
        <v>2471</v>
      </c>
      <c r="O8" s="1279" t="s">
        <v>2168</v>
      </c>
      <c r="P8" s="1278"/>
      <c r="Q8" s="1278"/>
      <c r="R8" s="1277" t="s">
        <v>1719</v>
      </c>
      <c r="S8" s="1277" t="s">
        <v>2229</v>
      </c>
      <c r="T8" s="1277" t="s">
        <v>3619</v>
      </c>
      <c r="U8" s="1277" t="s">
        <v>3620</v>
      </c>
      <c r="V8" s="1277" t="s">
        <v>2231</v>
      </c>
      <c r="W8" s="1277" t="s">
        <v>3617</v>
      </c>
      <c r="X8" s="1277" t="s">
        <v>3621</v>
      </c>
      <c r="Y8" s="1277" t="s">
        <v>2783</v>
      </c>
      <c r="Z8" s="1277" t="s">
        <v>3622</v>
      </c>
      <c r="AA8" s="1277" t="s">
        <v>3623</v>
      </c>
      <c r="AB8" s="1277" t="s">
        <v>3624</v>
      </c>
      <c r="AC8" s="1114"/>
      <c r="AD8" s="1114"/>
      <c r="AE8" s="1114"/>
    </row>
    <row r="9" spans="1:31" ht="42" customHeight="1" x14ac:dyDescent="0.25">
      <c r="A9" s="1209"/>
      <c r="B9" s="1238" t="s">
        <v>2234</v>
      </c>
      <c r="C9" s="1248" t="s">
        <v>1442</v>
      </c>
      <c r="D9" s="1248" t="s">
        <v>2169</v>
      </c>
      <c r="E9" s="1248" t="s">
        <v>92</v>
      </c>
      <c r="F9" s="1330" t="str">
        <f>IF($C$4="","",IF(ISNUMBER(SEARCH(" "&amp;LOWER(C9)&amp;" "," "&amp;$C$5&amp;" ")),"OUI",""))</f>
        <v/>
      </c>
      <c r="G9" s="1244" t="s">
        <v>2235</v>
      </c>
      <c r="H9" s="1243" t="s">
        <v>2236</v>
      </c>
      <c r="I9" s="1252" t="s">
        <v>3625</v>
      </c>
      <c r="J9" s="1266">
        <f>COUNTIFS($R$10:$R$170,$I9,$V$10:$V$170,"OUI")</f>
        <v>0</v>
      </c>
      <c r="K9" s="1266">
        <f>SUMIFS($W$10:$W$170,$R$10:$R$170,$I9,$V$10:$V$170,"OUI")</f>
        <v>0</v>
      </c>
      <c r="L9" s="1266" t="str">
        <f>IF($J9=0,"Non détecté",IF($K9&gt;=4,"Fort","Détecté"))</f>
        <v>Non détecté</v>
      </c>
      <c r="M9" s="1276" t="str">
        <f>IF($J9=0,"",IFERROR(INDEX($T$10:$T$170,MATCH($I9,$AB$10:$AB$170,0)),""))</f>
        <v/>
      </c>
      <c r="N9" s="1252" t="s">
        <v>3626</v>
      </c>
      <c r="O9" s="1252" t="s">
        <v>3627</v>
      </c>
      <c r="Q9" s="993"/>
      <c r="R9" s="1200"/>
      <c r="S9" s="1198"/>
      <c r="T9" s="1198"/>
      <c r="U9" s="1199"/>
      <c r="V9" s="1198"/>
      <c r="W9" s="1199"/>
      <c r="X9" s="1198"/>
      <c r="Y9" s="1197"/>
      <c r="Z9" s="1275"/>
      <c r="AA9" s="1274"/>
      <c r="AB9" s="1273"/>
    </row>
    <row r="10" spans="1:31" ht="42" customHeight="1" x14ac:dyDescent="0.25">
      <c r="A10" s="1209"/>
      <c r="B10" s="1238" t="s">
        <v>2234</v>
      </c>
      <c r="C10" s="1248" t="s">
        <v>1453</v>
      </c>
      <c r="D10" s="1248" t="s">
        <v>2169</v>
      </c>
      <c r="E10" s="1248" t="s">
        <v>92</v>
      </c>
      <c r="F10" s="1247" t="str">
        <f>IF($C$4="","",IF(ISNUMBER(SEARCH(" "&amp;LOWER(C10)&amp;" "," "&amp;$C$5&amp;" ")),"OUI",""))</f>
        <v/>
      </c>
      <c r="G10" s="1244" t="s">
        <v>2237</v>
      </c>
      <c r="H10" s="1243" t="s">
        <v>2238</v>
      </c>
      <c r="I10" s="1252" t="s">
        <v>3628</v>
      </c>
      <c r="J10" s="1266">
        <f>COUNTIFS($R$10:$R$170,$I10,$V$10:$V$170,"OUI")</f>
        <v>1</v>
      </c>
      <c r="K10" s="1266">
        <f>SUMIFS($W$10:$W$170,$R$10:$R$170,$I10,$V$10:$V$170,"OUI")</f>
        <v>1</v>
      </c>
      <c r="L10" s="1266" t="str">
        <f>IF($J10=0,"Non détecté",IF($K10&gt;=4,"Fort","Détecté"))</f>
        <v>Détecté</v>
      </c>
      <c r="M10" s="1272" t="str">
        <f>IF($J10=0,"",IFERROR(INDEX($T$10:$T$170,MATCH($I10,$AB$10:$AB$170,0)),""))</f>
        <v>sauce</v>
      </c>
      <c r="N10" s="1252" t="s">
        <v>3629</v>
      </c>
      <c r="O10" s="1252" t="s">
        <v>3630</v>
      </c>
      <c r="Q10" s="993"/>
      <c r="R10" s="1196" t="s">
        <v>3625</v>
      </c>
      <c r="S10" s="58" t="s">
        <v>3631</v>
      </c>
      <c r="T10" s="58" t="s">
        <v>3632</v>
      </c>
      <c r="U10" s="1195">
        <v>3</v>
      </c>
      <c r="V10" s="58" t="str">
        <f>IF($T10="","",IF(ISNUMBER(SEARCH(" "&amp;$T10&amp;" "," "&amp;$J$4&amp;" ")),"OUI",""))</f>
        <v/>
      </c>
      <c r="W10" s="1195">
        <f>IF($V10="OUI",$U10,0)</f>
        <v>0</v>
      </c>
      <c r="X10" s="58" t="s">
        <v>3633</v>
      </c>
      <c r="Y10" s="1194" t="s">
        <v>3634</v>
      </c>
      <c r="Z10" s="1189" t="str">
        <f>IF($V10="OUI",COUNTIF($V$10:V10,"OUI"),"")</f>
        <v/>
      </c>
      <c r="AA10" s="1188" t="str">
        <f>IF($V10="OUI",COUNTIFS($R$10:R10,$R10,$V$10:V10,"OUI"),"")</f>
        <v/>
      </c>
      <c r="AB10" s="1201" t="str">
        <f>IF(AND($V10="OUI",$AA10=1),$R10,"")</f>
        <v/>
      </c>
    </row>
    <row r="11" spans="1:31" ht="42" customHeight="1" x14ac:dyDescent="0.25">
      <c r="A11" s="1209"/>
      <c r="B11" s="1238" t="s">
        <v>2234</v>
      </c>
      <c r="C11" s="1248" t="s">
        <v>1997</v>
      </c>
      <c r="D11" s="1248" t="s">
        <v>2169</v>
      </c>
      <c r="E11" s="1248" t="s">
        <v>92</v>
      </c>
      <c r="F11" s="1247" t="str">
        <f>IF($C$4="","",IF(ISNUMBER(SEARCH(" "&amp;LOWER(C11)&amp;" "," "&amp;$C$5&amp;" ")),"OUI",""))</f>
        <v>OUI</v>
      </c>
      <c r="G11" s="1244" t="s">
        <v>2239</v>
      </c>
      <c r="H11" s="1243" t="s">
        <v>2240</v>
      </c>
      <c r="I11" s="1252" t="s">
        <v>3635</v>
      </c>
      <c r="J11" s="1266">
        <f>COUNTIFS($R$10:$R$170,$I11,$V$10:$V$170,"OUI")</f>
        <v>0</v>
      </c>
      <c r="K11" s="1266">
        <f>SUMIFS($W$10:$W$170,$R$10:$R$170,$I11,$V$10:$V$170,"OUI")</f>
        <v>0</v>
      </c>
      <c r="L11" s="1266" t="str">
        <f>IF($J11=0,"Non détecté",IF($K11&gt;=4,"Fort","Détecté"))</f>
        <v>Non détecté</v>
      </c>
      <c r="M11" s="1272" t="str">
        <f>IF($J11=0,"",IFERROR(INDEX($T$10:$T$170,MATCH($I11,$AB$10:$AB$170,0)),""))</f>
        <v/>
      </c>
      <c r="N11" s="1252" t="s">
        <v>3636</v>
      </c>
      <c r="O11" s="1252" t="s">
        <v>3637</v>
      </c>
      <c r="Q11" s="993"/>
      <c r="R11" s="1196" t="s">
        <v>3625</v>
      </c>
      <c r="S11" s="58" t="s">
        <v>3631</v>
      </c>
      <c r="T11" s="58" t="s">
        <v>2035</v>
      </c>
      <c r="U11" s="1195">
        <v>2</v>
      </c>
      <c r="V11" s="58" t="str">
        <f>IF($T11="","",IF(ISNUMBER(SEARCH(" "&amp;$T11&amp;" "," "&amp;$J$4&amp;" ")),"OUI",""))</f>
        <v/>
      </c>
      <c r="W11" s="1195">
        <f>IF($V11="OUI",$U11,0)</f>
        <v>0</v>
      </c>
      <c r="X11" s="58" t="s">
        <v>3638</v>
      </c>
      <c r="Y11" s="1194" t="s">
        <v>3639</v>
      </c>
      <c r="Z11" s="1189" t="str">
        <f>IF($V11="OUI",COUNTIF($V$10:V11,"OUI"),"")</f>
        <v/>
      </c>
      <c r="AA11" s="1188" t="str">
        <f>IF($V11="OUI",COUNTIFS($R$10:R11,$R11,$V$10:V11,"OUI"),"")</f>
        <v/>
      </c>
      <c r="AB11" s="1201" t="str">
        <f>IF(AND($V11="OUI",$AA11=1),$R11,"")</f>
        <v/>
      </c>
    </row>
    <row r="12" spans="1:31" ht="42" customHeight="1" x14ac:dyDescent="0.25">
      <c r="A12" s="1209"/>
      <c r="B12" s="1238" t="s">
        <v>2234</v>
      </c>
      <c r="C12" s="1248" t="s">
        <v>1473</v>
      </c>
      <c r="D12" s="1248" t="s">
        <v>2241</v>
      </c>
      <c r="E12" s="1248" t="s">
        <v>92</v>
      </c>
      <c r="F12" s="1247" t="str">
        <f>IF($C$4="","",IF(ISNUMBER(SEARCH(" "&amp;LOWER(C12)&amp;" "," "&amp;$C$5&amp;" ")),"OUI",""))</f>
        <v>OUI</v>
      </c>
      <c r="G12" s="1244" t="s">
        <v>2242</v>
      </c>
      <c r="H12" s="1243" t="s">
        <v>2243</v>
      </c>
      <c r="I12" s="1252" t="s">
        <v>275</v>
      </c>
      <c r="J12" s="1266">
        <f>COUNTIFS($R$10:$R$170,$I12,$V$10:$V$170,"OUI")</f>
        <v>1</v>
      </c>
      <c r="K12" s="1266">
        <f>SUMIFS($W$10:$W$170,$R$10:$R$170,$I12,$V$10:$V$170,"OUI")</f>
        <v>3</v>
      </c>
      <c r="L12" s="1266" t="str">
        <f>IF($J12=0,"Non détecté",IF($K12&gt;=4,"Fort","Détecté"))</f>
        <v>Détecté</v>
      </c>
      <c r="M12" s="1272" t="str">
        <f>IF($J12=0,"",IFERROR(INDEX($T$10:$T$170,MATCH($I12,$AB$10:$AB$170,0)),""))</f>
        <v>gaspillage</v>
      </c>
      <c r="N12" s="1252" t="s">
        <v>3640</v>
      </c>
      <c r="O12" s="1252" t="s">
        <v>3641</v>
      </c>
      <c r="Q12" s="993"/>
      <c r="R12" s="1196" t="s">
        <v>3625</v>
      </c>
      <c r="S12" s="58" t="s">
        <v>3631</v>
      </c>
      <c r="T12" s="58" t="s">
        <v>2298</v>
      </c>
      <c r="U12" s="1195">
        <v>2</v>
      </c>
      <c r="V12" s="58" t="str">
        <f>IF($T12="","",IF(ISNUMBER(SEARCH(" "&amp;$T12&amp;" "," "&amp;$J$4&amp;" ")),"OUI",""))</f>
        <v/>
      </c>
      <c r="W12" s="1195">
        <f>IF($V12="OUI",$U12,0)</f>
        <v>0</v>
      </c>
      <c r="X12" s="58" t="s">
        <v>3638</v>
      </c>
      <c r="Y12" s="1194" t="s">
        <v>3639</v>
      </c>
      <c r="Z12" s="1189" t="str">
        <f>IF($V12="OUI",COUNTIF($V$10:V12,"OUI"),"")</f>
        <v/>
      </c>
      <c r="AA12" s="1188" t="str">
        <f>IF($V12="OUI",COUNTIFS($R$10:R12,$R12,$V$10:V12,"OUI"),"")</f>
        <v/>
      </c>
      <c r="AB12" s="1201" t="str">
        <f>IF(AND($V12="OUI",$AA12=1),$R12,"")</f>
        <v/>
      </c>
    </row>
    <row r="13" spans="1:31" ht="42" customHeight="1" x14ac:dyDescent="0.25">
      <c r="A13" s="1209"/>
      <c r="B13" s="1238" t="s">
        <v>2234</v>
      </c>
      <c r="C13" s="1248" t="s">
        <v>2012</v>
      </c>
      <c r="D13" s="1248" t="s">
        <v>2241</v>
      </c>
      <c r="E13" s="1248" t="s">
        <v>92</v>
      </c>
      <c r="F13" s="1247" t="str">
        <f>IF($C$4="","",IF(ISNUMBER(SEARCH(" "&amp;LOWER(C13)&amp;" "," "&amp;$C$5&amp;" ")),"OUI",""))</f>
        <v/>
      </c>
      <c r="G13" s="1244" t="s">
        <v>2244</v>
      </c>
      <c r="H13" s="1243" t="s">
        <v>2017</v>
      </c>
      <c r="I13" s="1252" t="s">
        <v>328</v>
      </c>
      <c r="J13" s="1266">
        <f>COUNTIFS($R$10:$R$170,$I13,$V$10:$V$170,"OUI")</f>
        <v>1</v>
      </c>
      <c r="K13" s="1266">
        <f>SUMIFS($W$10:$W$170,$R$10:$R$170,$I13,$V$10:$V$170,"OUI")</f>
        <v>1</v>
      </c>
      <c r="L13" s="1266" t="str">
        <f>IF($J13=0,"Non détecté",IF($K13&gt;=4,"Fort","Détecté"))</f>
        <v>Détecté</v>
      </c>
      <c r="M13" s="1272" t="str">
        <f>IF($J13=0,"",IFERROR(INDEX($T$10:$T$170,MATCH($I13,$AB$10:$AB$170,0)),""))</f>
        <v>satisfaction</v>
      </c>
      <c r="N13" s="1252" t="s">
        <v>3642</v>
      </c>
      <c r="O13" s="1252" t="s">
        <v>3643</v>
      </c>
      <c r="Q13" s="993"/>
      <c r="R13" s="1196" t="s">
        <v>3625</v>
      </c>
      <c r="S13" s="58" t="s">
        <v>3631</v>
      </c>
      <c r="T13" s="58" t="s">
        <v>3644</v>
      </c>
      <c r="U13" s="1195">
        <v>2</v>
      </c>
      <c r="V13" s="58" t="str">
        <f>IF($T13="","",IF(ISNUMBER(SEARCH(" "&amp;$T13&amp;" "," "&amp;$J$4&amp;" ")),"OUI",""))</f>
        <v/>
      </c>
      <c r="W13" s="1195">
        <f>IF($V13="OUI",$U13,0)</f>
        <v>0</v>
      </c>
      <c r="X13" s="58" t="s">
        <v>3645</v>
      </c>
      <c r="Y13" s="1194" t="s">
        <v>3646</v>
      </c>
      <c r="Z13" s="1189" t="str">
        <f>IF($V13="OUI",COUNTIF($V$10:V13,"OUI"),"")</f>
        <v/>
      </c>
      <c r="AA13" s="1188" t="str">
        <f>IF($V13="OUI",COUNTIFS($R$10:R13,$R13,$V$10:V13,"OUI"),"")</f>
        <v/>
      </c>
      <c r="AB13" s="1201" t="str">
        <f>IF(AND($V13="OUI",$AA13=1),$R13,"")</f>
        <v/>
      </c>
    </row>
    <row r="14" spans="1:31" ht="42" customHeight="1" x14ac:dyDescent="0.25">
      <c r="A14" s="1209"/>
      <c r="B14" s="1238" t="s">
        <v>2234</v>
      </c>
      <c r="C14" s="1248" t="s">
        <v>1463</v>
      </c>
      <c r="D14" s="1248" t="s">
        <v>2176</v>
      </c>
      <c r="E14" s="1248" t="s">
        <v>92</v>
      </c>
      <c r="F14" s="1247" t="str">
        <f>IF($C$4="","",IF(ISNUMBER(SEARCH(" "&amp;LOWER(C14)&amp;" "," "&amp;$C$5&amp;" ")),"OUI",""))</f>
        <v/>
      </c>
      <c r="G14" s="1244" t="s">
        <v>2179</v>
      </c>
      <c r="H14" s="1243" t="s">
        <v>2245</v>
      </c>
      <c r="I14" s="1252" t="s">
        <v>1237</v>
      </c>
      <c r="J14" s="1266">
        <f>COUNTIFS($R$10:$R$170,$I14,$V$10:$V$170,"OUI")</f>
        <v>1</v>
      </c>
      <c r="K14" s="1266">
        <f>SUMIFS($W$10:$W$170,$R$10:$R$170,$I14,$V$10:$V$170,"OUI")</f>
        <v>1</v>
      </c>
      <c r="L14" s="1266" t="str">
        <f>IF($J14=0,"Non détecté",IF($K14&gt;=4,"Fort","Détecté"))</f>
        <v>Détecté</v>
      </c>
      <c r="M14" s="1272" t="str">
        <f>IF($J14=0,"",IFERROR(INDEX($T$10:$T$170,MATCH($I14,$AB$10:$AB$170,0)),""))</f>
        <v>presenter</v>
      </c>
      <c r="N14" s="1252" t="s">
        <v>3647</v>
      </c>
      <c r="O14" s="1252" t="s">
        <v>3648</v>
      </c>
      <c r="Q14" s="993"/>
      <c r="R14" s="1196" t="s">
        <v>3625</v>
      </c>
      <c r="S14" s="58" t="s">
        <v>3631</v>
      </c>
      <c r="T14" s="58" t="s">
        <v>2036</v>
      </c>
      <c r="U14" s="1195">
        <v>2</v>
      </c>
      <c r="V14" s="58" t="str">
        <f>IF($T14="","",IF(ISNUMBER(SEARCH(" "&amp;$T14&amp;" "," "&amp;$J$4&amp;" ")),"OUI",""))</f>
        <v/>
      </c>
      <c r="W14" s="1195">
        <f>IF($V14="OUI",$U14,0)</f>
        <v>0</v>
      </c>
      <c r="X14" s="58" t="s">
        <v>3649</v>
      </c>
      <c r="Y14" s="1194" t="s">
        <v>3650</v>
      </c>
      <c r="Z14" s="1189" t="str">
        <f>IF($V14="OUI",COUNTIF($V$10:V14,"OUI"),"")</f>
        <v/>
      </c>
      <c r="AA14" s="1188" t="str">
        <f>IF($V14="OUI",COUNTIFS($R$10:R14,$R14,$V$10:V14,"OUI"),"")</f>
        <v/>
      </c>
      <c r="AB14" s="1201" t="str">
        <f>IF(AND($V14="OUI",$AA14=1),$R14,"")</f>
        <v/>
      </c>
    </row>
    <row r="15" spans="1:31" ht="42" customHeight="1" x14ac:dyDescent="0.25">
      <c r="A15" s="1209"/>
      <c r="B15" s="1238" t="s">
        <v>2234</v>
      </c>
      <c r="C15" s="1248" t="s">
        <v>2003</v>
      </c>
      <c r="D15" s="1248" t="s">
        <v>2176</v>
      </c>
      <c r="E15" s="1248" t="s">
        <v>92</v>
      </c>
      <c r="F15" s="1247" t="str">
        <f>IF($C$4="","",IF(ISNUMBER(SEARCH(" "&amp;LOWER(C15)&amp;" "," "&amp;$C$5&amp;" ")),"OUI",""))</f>
        <v/>
      </c>
      <c r="G15" s="1244" t="s">
        <v>2246</v>
      </c>
      <c r="H15" s="1243" t="s">
        <v>2003</v>
      </c>
      <c r="I15" s="1252" t="s">
        <v>3651</v>
      </c>
      <c r="J15" s="1266">
        <f>COUNTIFS($R$10:$R$170,$I15,$V$10:$V$170,"OUI")</f>
        <v>3</v>
      </c>
      <c r="K15" s="1266">
        <f>SUMIFS($W$10:$W$170,$R$10:$R$170,$I15,$V$10:$V$170,"OUI")</f>
        <v>8</v>
      </c>
      <c r="L15" s="1266" t="str">
        <f>IF($J15=0,"Non détecté",IF($K15&gt;=4,"Fort","Détecté"))</f>
        <v>Fort</v>
      </c>
      <c r="M15" s="1272" t="str">
        <f>IF($J15=0,"",IFERROR(INDEX($T$10:$T$170,MATCH($I15,$AB$10:$AB$170,0)),""))</f>
        <v>gluten</v>
      </c>
      <c r="N15" s="1252" t="s">
        <v>3652</v>
      </c>
      <c r="O15" s="1252" t="s">
        <v>3653</v>
      </c>
      <c r="Q15" s="993"/>
      <c r="R15" s="1196" t="s">
        <v>3625</v>
      </c>
      <c r="S15" s="58" t="s">
        <v>3631</v>
      </c>
      <c r="T15" s="58" t="s">
        <v>3654</v>
      </c>
      <c r="U15" s="1195">
        <v>1</v>
      </c>
      <c r="V15" s="58" t="str">
        <f>IF($T15="","",IF(ISNUMBER(SEARCH(" "&amp;$T15&amp;" "," "&amp;$J$4&amp;" ")),"OUI",""))</f>
        <v/>
      </c>
      <c r="W15" s="1195">
        <f>IF($V15="OUI",$U15,0)</f>
        <v>0</v>
      </c>
      <c r="X15" s="58" t="s">
        <v>3655</v>
      </c>
      <c r="Y15" s="1194" t="s">
        <v>3656</v>
      </c>
      <c r="Z15" s="1189" t="str">
        <f>IF($V15="OUI",COUNTIF($V$10:V15,"OUI"),"")</f>
        <v/>
      </c>
      <c r="AA15" s="1188" t="str">
        <f>IF($V15="OUI",COUNTIFS($R$10:R15,$R15,$V$10:V15,"OUI"),"")</f>
        <v/>
      </c>
      <c r="AB15" s="1201" t="str">
        <f>IF(AND($V15="OUI",$AA15=1),$R15,"")</f>
        <v/>
      </c>
    </row>
    <row r="16" spans="1:31" ht="42" customHeight="1" x14ac:dyDescent="0.25">
      <c r="A16" s="1209"/>
      <c r="B16" s="1238" t="s">
        <v>2234</v>
      </c>
      <c r="C16" s="1248" t="s">
        <v>2247</v>
      </c>
      <c r="D16" s="1248" t="s">
        <v>2176</v>
      </c>
      <c r="E16" s="1248" t="s">
        <v>92</v>
      </c>
      <c r="F16" s="1247" t="str">
        <f>IF($C$4="","",IF(ISNUMBER(SEARCH(" "&amp;LOWER(C16)&amp;" "," "&amp;$C$5&amp;" ")),"OUI",""))</f>
        <v/>
      </c>
      <c r="G16" s="1244" t="s">
        <v>2248</v>
      </c>
      <c r="H16" s="1243" t="s">
        <v>2249</v>
      </c>
      <c r="I16" s="1252" t="s">
        <v>3657</v>
      </c>
      <c r="J16" s="1266">
        <f>COUNTIFS($R$10:$R$170,$I16,$V$10:$V$170,"OUI")</f>
        <v>5</v>
      </c>
      <c r="K16" s="1266">
        <f>SUMIFS($W$10:$W$170,$R$10:$R$170,$I16,$V$10:$V$170,"OUI")</f>
        <v>5</v>
      </c>
      <c r="L16" s="1266" t="str">
        <f>IF($J16=0,"Non détecté",IF($K16&gt;=4,"Fort","Détecté"))</f>
        <v>Fort</v>
      </c>
      <c r="M16" s="1272" t="str">
        <f>IF($J16=0,"",IFERROR(INDEX($T$10:$T$170,MATCH($I16,$AB$10:$AB$170,0)),""))</f>
        <v>lentilles</v>
      </c>
      <c r="N16" s="1252" t="s">
        <v>3658</v>
      </c>
      <c r="O16" s="1252" t="s">
        <v>3659</v>
      </c>
      <c r="Q16" s="993"/>
      <c r="R16" s="1196" t="s">
        <v>3625</v>
      </c>
      <c r="S16" s="58" t="s">
        <v>3631</v>
      </c>
      <c r="T16" s="58" t="s">
        <v>3660</v>
      </c>
      <c r="U16" s="1195">
        <v>2</v>
      </c>
      <c r="V16" s="58" t="str">
        <f>IF($T16="","",IF(ISNUMBER(SEARCH(" "&amp;$T16&amp;" "," "&amp;$J$4&amp;" ")),"OUI",""))</f>
        <v/>
      </c>
      <c r="W16" s="1195">
        <f>IF($V16="OUI",$U16,0)</f>
        <v>0</v>
      </c>
      <c r="X16" s="58" t="s">
        <v>3661</v>
      </c>
      <c r="Y16" s="1194" t="s">
        <v>3662</v>
      </c>
      <c r="Z16" s="1189" t="str">
        <f>IF($V16="OUI",COUNTIF($V$10:V16,"OUI"),"")</f>
        <v/>
      </c>
      <c r="AA16" s="1188" t="str">
        <f>IF($V16="OUI",COUNTIFS($R$10:R16,$R16,$V$10:V16,"OUI"),"")</f>
        <v/>
      </c>
      <c r="AB16" s="1201" t="str">
        <f>IF(AND($V16="OUI",$AA16=1),$R16,"")</f>
        <v/>
      </c>
    </row>
    <row r="17" spans="1:28" ht="42" customHeight="1" x14ac:dyDescent="0.25">
      <c r="A17" s="1209"/>
      <c r="B17" s="1238" t="s">
        <v>2234</v>
      </c>
      <c r="C17" s="1248" t="s">
        <v>2004</v>
      </c>
      <c r="D17" s="1248" t="s">
        <v>2176</v>
      </c>
      <c r="E17" s="1248" t="s">
        <v>92</v>
      </c>
      <c r="F17" s="1247" t="str">
        <f>IF($C$4="","",IF(ISNUMBER(SEARCH(" "&amp;LOWER(C17)&amp;" "," "&amp;$C$5&amp;" ")),"OUI",""))</f>
        <v/>
      </c>
      <c r="G17" s="1244" t="s">
        <v>2250</v>
      </c>
      <c r="H17" s="1243" t="s">
        <v>2004</v>
      </c>
      <c r="I17" s="1252" t="s">
        <v>2251</v>
      </c>
      <c r="J17" s="1266">
        <f>COUNTIFS($R$10:$R$170,$I17,$V$10:$V$170,"OUI")</f>
        <v>3</v>
      </c>
      <c r="K17" s="1266">
        <f>SUMIFS($W$10:$W$170,$R$10:$R$170,$I17,$V$10:$V$170,"OUI")</f>
        <v>5</v>
      </c>
      <c r="L17" s="1266" t="str">
        <f>IF($J17=0,"Non détecté",IF($K17&gt;=4,"Fort","Détecté"))</f>
        <v>Fort</v>
      </c>
      <c r="M17" s="1272" t="str">
        <f>IF($J17=0,"",IFERROR(INDEX($T$10:$T$170,MATCH($I17,$AB$10:$AB$170,0)),""))</f>
        <v>cout</v>
      </c>
      <c r="N17" s="1252" t="s">
        <v>3663</v>
      </c>
      <c r="O17" s="1252" t="s">
        <v>3664</v>
      </c>
      <c r="Q17" s="993"/>
      <c r="R17" s="1196" t="s">
        <v>3625</v>
      </c>
      <c r="S17" s="58" t="s">
        <v>3631</v>
      </c>
      <c r="T17" s="58" t="s">
        <v>3665</v>
      </c>
      <c r="U17" s="1195">
        <v>2</v>
      </c>
      <c r="V17" s="58" t="str">
        <f>IF($T17="","",IF(ISNUMBER(SEARCH(" "&amp;$T17&amp;" "," "&amp;$J$4&amp;" ")),"OUI",""))</f>
        <v/>
      </c>
      <c r="W17" s="1195">
        <f>IF($V17="OUI",$U17,0)</f>
        <v>0</v>
      </c>
      <c r="X17" s="58" t="s">
        <v>3661</v>
      </c>
      <c r="Y17" s="1194" t="s">
        <v>3662</v>
      </c>
      <c r="Z17" s="1189" t="str">
        <f>IF($V17="OUI",COUNTIF($V$10:V17,"OUI"),"")</f>
        <v/>
      </c>
      <c r="AA17" s="1188" t="str">
        <f>IF($V17="OUI",COUNTIFS($R$10:R17,$R17,$V$10:V17,"OUI"),"")</f>
        <v/>
      </c>
      <c r="AB17" s="1201" t="str">
        <f>IF(AND($V17="OUI",$AA17=1),$R17,"")</f>
        <v/>
      </c>
    </row>
    <row r="18" spans="1:28" ht="42" customHeight="1" x14ac:dyDescent="0.25">
      <c r="A18" s="1209"/>
      <c r="B18" s="1238" t="s">
        <v>2251</v>
      </c>
      <c r="C18" s="1248" t="s">
        <v>2189</v>
      </c>
      <c r="D18" s="1248" t="s">
        <v>2048</v>
      </c>
      <c r="E18" s="1248" t="s">
        <v>92</v>
      </c>
      <c r="F18" s="1247" t="str">
        <f>IF($C$4="","",IF(ISNUMBER(SEARCH(" "&amp;LOWER(C18)&amp;" "," "&amp;$C$5&amp;" ")),"OUI",""))</f>
        <v>OUI</v>
      </c>
      <c r="G18" s="1244" t="s">
        <v>2252</v>
      </c>
      <c r="H18" s="1243" t="s">
        <v>2253</v>
      </c>
      <c r="I18" s="1252" t="s">
        <v>310</v>
      </c>
      <c r="J18" s="1266">
        <f>COUNTIFS($R$10:$R$170,$I18,$V$10:$V$170,"OUI")</f>
        <v>0</v>
      </c>
      <c r="K18" s="1266">
        <f>SUMIFS($W$10:$W$170,$R$10:$R$170,$I18,$V$10:$V$170,"OUI")</f>
        <v>0</v>
      </c>
      <c r="L18" s="1266" t="str">
        <f>IF($J18=0,"Non détecté",IF($K18&gt;=4,"Fort","Détecté"))</f>
        <v>Non détecté</v>
      </c>
      <c r="M18" s="1272" t="str">
        <f>IF($J18=0,"",IFERROR(INDEX($T$10:$T$170,MATCH($I18,$AB$10:$AB$170,0)),""))</f>
        <v/>
      </c>
      <c r="N18" s="1252" t="s">
        <v>3666</v>
      </c>
      <c r="O18" s="1252" t="s">
        <v>3667</v>
      </c>
      <c r="Q18" s="993"/>
      <c r="R18" s="1196" t="s">
        <v>3625</v>
      </c>
      <c r="S18" s="58" t="s">
        <v>3631</v>
      </c>
      <c r="T18" s="58" t="s">
        <v>3668</v>
      </c>
      <c r="U18" s="1195">
        <v>1</v>
      </c>
      <c r="V18" s="58" t="str">
        <f>IF($T18="","",IF(ISNUMBER(SEARCH(" "&amp;$T18&amp;" "," "&amp;$J$4&amp;" ")),"OUI",""))</f>
        <v/>
      </c>
      <c r="W18" s="1195">
        <f>IF($V18="OUI",$U18,0)</f>
        <v>0</v>
      </c>
      <c r="X18" s="58" t="s">
        <v>3669</v>
      </c>
      <c r="Y18" s="1194" t="s">
        <v>3670</v>
      </c>
      <c r="Z18" s="1189" t="str">
        <f>IF($V18="OUI",COUNTIF($V$10:V18,"OUI"),"")</f>
        <v/>
      </c>
      <c r="AA18" s="1188" t="str">
        <f>IF($V18="OUI",COUNTIFS($R$10:R18,$R18,$V$10:V18,"OUI"),"")</f>
        <v/>
      </c>
      <c r="AB18" s="1201" t="str">
        <f>IF(AND($V18="OUI",$AA18=1),$R18,"")</f>
        <v/>
      </c>
    </row>
    <row r="19" spans="1:28" ht="42" customHeight="1" x14ac:dyDescent="0.25">
      <c r="A19" s="1209"/>
      <c r="B19" s="1238" t="s">
        <v>2251</v>
      </c>
      <c r="C19" s="1248" t="s">
        <v>2193</v>
      </c>
      <c r="D19" s="1248" t="s">
        <v>2048</v>
      </c>
      <c r="E19" s="1248" t="s">
        <v>92</v>
      </c>
      <c r="F19" s="1247" t="str">
        <f>IF($C$4="","",IF(ISNUMBER(SEARCH(" "&amp;LOWER(C19)&amp;" "," "&amp;$C$5&amp;" ")),"OUI",""))</f>
        <v/>
      </c>
      <c r="G19" s="1244" t="s">
        <v>2254</v>
      </c>
      <c r="H19" s="1243" t="s">
        <v>2021</v>
      </c>
      <c r="I19" s="1252" t="s">
        <v>572</v>
      </c>
      <c r="J19" s="1266">
        <f>COUNTIFS($R$10:$R$170,$I19,$V$10:$V$170,"OUI")</f>
        <v>2</v>
      </c>
      <c r="K19" s="1266">
        <f>SUMIFS($W$10:$W$170,$R$10:$R$170,$I19,$V$10:$V$170,"OUI")</f>
        <v>3</v>
      </c>
      <c r="L19" s="1266" t="str">
        <f>IF($J19=0,"Non détecté",IF($K19&gt;=4,"Fort","Détecté"))</f>
        <v>Détecté</v>
      </c>
      <c r="M19" s="1271" t="str">
        <f>IF($J19=0,"",IFERROR(INDEX($T$10:$T$170,MATCH($I19,$AB$10:$AB$170,0)),""))</f>
        <v>proteines</v>
      </c>
      <c r="N19" s="1252" t="s">
        <v>3671</v>
      </c>
      <c r="O19" s="1252" t="s">
        <v>3672</v>
      </c>
      <c r="Q19" s="993"/>
      <c r="R19" s="1196" t="s">
        <v>3625</v>
      </c>
      <c r="S19" s="58" t="s">
        <v>3631</v>
      </c>
      <c r="T19" s="58" t="s">
        <v>3673</v>
      </c>
      <c r="U19" s="1195">
        <v>1</v>
      </c>
      <c r="V19" s="58" t="str">
        <f>IF($T19="","",IF(ISNUMBER(SEARCH(" "&amp;$T19&amp;" "," "&amp;$J$4&amp;" ")),"OUI",""))</f>
        <v/>
      </c>
      <c r="W19" s="1195">
        <f>IF($V19="OUI",$U19,0)</f>
        <v>0</v>
      </c>
      <c r="X19" s="58" t="s">
        <v>3674</v>
      </c>
      <c r="Y19" s="1194" t="s">
        <v>3675</v>
      </c>
      <c r="Z19" s="1189" t="str">
        <f>IF($V19="OUI",COUNTIF($V$10:V19,"OUI"),"")</f>
        <v/>
      </c>
      <c r="AA19" s="1188" t="str">
        <f>IF($V19="OUI",COUNTIFS($R$10:R19,$R19,$V$10:V19,"OUI"),"")</f>
        <v/>
      </c>
      <c r="AB19" s="1201" t="str">
        <f>IF(AND($V19="OUI",$AA19=1),$R19,"")</f>
        <v/>
      </c>
    </row>
    <row r="20" spans="1:28" ht="42" customHeight="1" thickBot="1" x14ac:dyDescent="0.3">
      <c r="A20" s="1209"/>
      <c r="B20" s="1238" t="s">
        <v>2251</v>
      </c>
      <c r="C20" s="1248" t="s">
        <v>2255</v>
      </c>
      <c r="D20" s="1248" t="s">
        <v>2048</v>
      </c>
      <c r="E20" s="1248" t="s">
        <v>170</v>
      </c>
      <c r="F20" s="1247" t="str">
        <f>IF($C$4="","",IF(ISNUMBER(SEARCH(" "&amp;LOWER(C20)&amp;" "," "&amp;$C$5&amp;" ")),"OUI",""))</f>
        <v/>
      </c>
      <c r="G20" s="1244" t="s">
        <v>2256</v>
      </c>
      <c r="H20" s="1243" t="s">
        <v>2257</v>
      </c>
      <c r="I20" s="1270"/>
      <c r="J20" s="1270"/>
      <c r="K20" s="1270"/>
      <c r="L20" s="1270"/>
      <c r="M20" s="1270"/>
      <c r="N20" s="1270"/>
      <c r="O20" s="1270"/>
      <c r="Q20" s="993"/>
      <c r="R20" s="1196" t="s">
        <v>3625</v>
      </c>
      <c r="S20" s="58" t="s">
        <v>3631</v>
      </c>
      <c r="T20" s="58" t="s">
        <v>3676</v>
      </c>
      <c r="U20" s="1195">
        <v>1</v>
      </c>
      <c r="V20" s="58" t="str">
        <f>IF($T20="","",IF(ISNUMBER(SEARCH(" "&amp;$T20&amp;" "," "&amp;$J$4&amp;" ")),"OUI",""))</f>
        <v/>
      </c>
      <c r="W20" s="1195">
        <f>IF($V20="OUI",$U20,0)</f>
        <v>0</v>
      </c>
      <c r="X20" s="58" t="s">
        <v>3677</v>
      </c>
      <c r="Y20" s="1194" t="s">
        <v>3678</v>
      </c>
      <c r="Z20" s="1189" t="str">
        <f>IF($V20="OUI",COUNTIF($V$10:V20,"OUI"),"")</f>
        <v/>
      </c>
      <c r="AA20" s="1188" t="str">
        <f>IF($V20="OUI",COUNTIFS($R$10:R20,$R20,$V$10:V20,"OUI"),"")</f>
        <v/>
      </c>
      <c r="AB20" s="1201" t="str">
        <f>IF(AND($V20="OUI",$AA20=1),$R20,"")</f>
        <v/>
      </c>
    </row>
    <row r="21" spans="1:28" ht="42" customHeight="1" thickBot="1" x14ac:dyDescent="0.3">
      <c r="A21" s="1209"/>
      <c r="B21" s="1238" t="s">
        <v>2251</v>
      </c>
      <c r="C21" s="1248" t="s">
        <v>2025</v>
      </c>
      <c r="D21" s="1248" t="s">
        <v>2048</v>
      </c>
      <c r="E21" s="1248" t="s">
        <v>170</v>
      </c>
      <c r="F21" s="1247" t="str">
        <f>IF($C$4="","",IF(ISNUMBER(SEARCH(" "&amp;LOWER(C21)&amp;" "," "&amp;$C$5&amp;" ")),"OUI",""))</f>
        <v/>
      </c>
      <c r="G21" s="1244" t="s">
        <v>2258</v>
      </c>
      <c r="H21" s="1243" t="s">
        <v>2259</v>
      </c>
      <c r="I21" s="1269" t="s">
        <v>4398</v>
      </c>
      <c r="J21" s="1268"/>
      <c r="K21" s="1268"/>
      <c r="L21" s="1268"/>
      <c r="M21" s="1268"/>
      <c r="N21" s="1268"/>
      <c r="O21" s="1268"/>
      <c r="Q21" s="993"/>
      <c r="R21" s="1196" t="s">
        <v>3625</v>
      </c>
      <c r="S21" s="58" t="s">
        <v>3631</v>
      </c>
      <c r="T21" s="58" t="s">
        <v>3679</v>
      </c>
      <c r="U21" s="1195">
        <v>2</v>
      </c>
      <c r="V21" s="58" t="str">
        <f>IF($T21="","",IF(ISNUMBER(SEARCH(" "&amp;$T21&amp;" "," "&amp;$J$4&amp;" ")),"OUI",""))</f>
        <v/>
      </c>
      <c r="W21" s="1195">
        <f>IF($V21="OUI",$U21,0)</f>
        <v>0</v>
      </c>
      <c r="X21" s="58" t="s">
        <v>3680</v>
      </c>
      <c r="Y21" s="1194" t="s">
        <v>3681</v>
      </c>
      <c r="Z21" s="1189" t="str">
        <f>IF($V21="OUI",COUNTIF($V$10:V21,"OUI"),"")</f>
        <v/>
      </c>
      <c r="AA21" s="1188" t="str">
        <f>IF($V21="OUI",COUNTIFS($R$10:R21,$R21,$V$10:V21,"OUI"),"")</f>
        <v/>
      </c>
      <c r="AB21" s="1201" t="str">
        <f>IF(AND($V21="OUI",$AA21=1),$R21,"")</f>
        <v/>
      </c>
    </row>
    <row r="22" spans="1:28" ht="42" customHeight="1" x14ac:dyDescent="0.25">
      <c r="A22" s="1209"/>
      <c r="B22" s="1238" t="s">
        <v>2251</v>
      </c>
      <c r="C22" s="1248" t="s">
        <v>2026</v>
      </c>
      <c r="D22" s="1248" t="s">
        <v>2048</v>
      </c>
      <c r="E22" s="1248" t="s">
        <v>92</v>
      </c>
      <c r="F22" s="1247" t="str">
        <f>IF($C$4="","",IF(ISNUMBER(SEARCH(" "&amp;LOWER(C22)&amp;" "," "&amp;$C$5&amp;" ")),"OUI",""))</f>
        <v>OUI</v>
      </c>
      <c r="G22" s="1244" t="s">
        <v>2260</v>
      </c>
      <c r="H22" s="1243" t="s">
        <v>2261</v>
      </c>
      <c r="I22" s="1267" t="s">
        <v>2832</v>
      </c>
      <c r="J22" s="1267" t="s">
        <v>1719</v>
      </c>
      <c r="K22" s="1267" t="s">
        <v>2229</v>
      </c>
      <c r="L22" s="1267" t="s">
        <v>2164</v>
      </c>
      <c r="M22" s="1267" t="s">
        <v>3620</v>
      </c>
      <c r="N22" s="1267" t="s">
        <v>3621</v>
      </c>
      <c r="O22" s="1267" t="s">
        <v>2783</v>
      </c>
      <c r="Q22" s="993"/>
      <c r="R22" s="1196" t="s">
        <v>3625</v>
      </c>
      <c r="S22" s="58" t="s">
        <v>3631</v>
      </c>
      <c r="T22" s="58" t="s">
        <v>3682</v>
      </c>
      <c r="U22" s="1195">
        <v>1</v>
      </c>
      <c r="V22" s="58" t="str">
        <f>IF($T22="","",IF(ISNUMBER(SEARCH(" "&amp;$T22&amp;" "," "&amp;$J$4&amp;" ")),"OUI",""))</f>
        <v/>
      </c>
      <c r="W22" s="1195">
        <f>IF($V22="OUI",$U22,0)</f>
        <v>0</v>
      </c>
      <c r="X22" s="58" t="s">
        <v>3683</v>
      </c>
      <c r="Y22" s="1194" t="s">
        <v>3684</v>
      </c>
      <c r="Z22" s="1189" t="str">
        <f>IF($V22="OUI",COUNTIF($V$10:V22,"OUI"),"")</f>
        <v/>
      </c>
      <c r="AA22" s="1188" t="str">
        <f>IF($V22="OUI",COUNTIFS($R$10:R22,$R22,$V$10:V22,"OUI"),"")</f>
        <v/>
      </c>
      <c r="AB22" s="1201" t="str">
        <f>IF(AND($V22="OUI",$AA22=1),$R22,"")</f>
        <v/>
      </c>
    </row>
    <row r="23" spans="1:28" ht="42" customHeight="1" x14ac:dyDescent="0.25">
      <c r="A23" s="1209"/>
      <c r="B23" s="1238" t="s">
        <v>2262</v>
      </c>
      <c r="C23" s="1248" t="s">
        <v>2263</v>
      </c>
      <c r="D23" s="1248" t="s">
        <v>1235</v>
      </c>
      <c r="E23" s="1248" t="s">
        <v>92</v>
      </c>
      <c r="F23" s="1247" t="str">
        <f>IF($C$4="","",IF(ISNUMBER(SEARCH(" "&amp;LOWER(C23)&amp;" "," "&amp;$C$5&amp;" ")),"OUI",""))</f>
        <v/>
      </c>
      <c r="G23" s="1244" t="s">
        <v>2264</v>
      </c>
      <c r="H23" s="1243" t="s">
        <v>2265</v>
      </c>
      <c r="I23" s="1252">
        <f>1</f>
        <v>1</v>
      </c>
      <c r="J23" s="1266" t="str">
        <f>IFERROR(INDEX($R$10:$R$170,MATCH($I23,$Z$10:$Z$170,0)),"")</f>
        <v>SAUCE</v>
      </c>
      <c r="K23" s="1266" t="str">
        <f>IFERROR(INDEX($S$10:$S$170,MATCH($I23,$Z$10:$Z$170,0)),"")</f>
        <v>INFO</v>
      </c>
      <c r="L23" s="1266" t="str">
        <f>IFERROR(INDEX($T$10:$T$170,MATCH($I23,$Z$10:$Z$170,0)),"")</f>
        <v>sauce</v>
      </c>
      <c r="M23" s="1266">
        <f>IFERROR(INDEX($U$10:$U$170,MATCH($I23,$Z$10:$Z$170,0)),"")</f>
        <v>1</v>
      </c>
      <c r="N23" s="1252" t="str">
        <f>IFERROR(INDEX($X$10:$X$170,MATCH($I23,$Z$10:$Z$170,0)),"")</f>
        <v>Tu as parlé de sauce.</v>
      </c>
      <c r="O23" s="1252" t="str">
        <f>IFERROR(INDEX($Y$10:$Y$170,MATCH($I23,$Z$10:$Z$170,0)),"")</f>
        <v>Faire préciser si elle manque ou aide.</v>
      </c>
      <c r="Q23" s="993"/>
      <c r="R23" s="1196" t="s">
        <v>3628</v>
      </c>
      <c r="S23" s="58" t="s">
        <v>3631</v>
      </c>
      <c r="T23" s="58" t="s">
        <v>3685</v>
      </c>
      <c r="U23" s="1195">
        <v>3</v>
      </c>
      <c r="V23" s="58" t="str">
        <f>IF($T23="","",IF(ISNUMBER(SEARCH(" "&amp;$T23&amp;" "," "&amp;$J$4&amp;" ")),"OUI",""))</f>
        <v/>
      </c>
      <c r="W23" s="1195">
        <f>IF($V23="OUI",$U23,0)</f>
        <v>0</v>
      </c>
      <c r="X23" s="58" t="s">
        <v>3686</v>
      </c>
      <c r="Y23" s="1194" t="s">
        <v>3687</v>
      </c>
      <c r="Z23" s="1189" t="str">
        <f>IF($V23="OUI",COUNTIF($V$10:V23,"OUI"),"")</f>
        <v/>
      </c>
      <c r="AA23" s="1188" t="str">
        <f>IF($V23="OUI",COUNTIFS($R$10:R23,$R23,$V$10:V23,"OUI"),"")</f>
        <v/>
      </c>
      <c r="AB23" s="1201" t="str">
        <f>IF(AND($V23="OUI",$AA23=1),$R23,"")</f>
        <v/>
      </c>
    </row>
    <row r="24" spans="1:28" ht="42" customHeight="1" x14ac:dyDescent="0.25">
      <c r="A24" s="1209"/>
      <c r="B24" s="1238" t="s">
        <v>2262</v>
      </c>
      <c r="C24" s="1248" t="s">
        <v>2266</v>
      </c>
      <c r="D24" s="1248" t="s">
        <v>1235</v>
      </c>
      <c r="E24" s="1248" t="s">
        <v>92</v>
      </c>
      <c r="F24" s="1247" t="str">
        <f>IF($C$4="","",IF(ISNUMBER(SEARCH(" "&amp;LOWER(C24)&amp;" "," "&amp;$C$5&amp;" ")),"OUI",""))</f>
        <v/>
      </c>
      <c r="G24" s="1244" t="s">
        <v>2267</v>
      </c>
      <c r="H24" s="1243" t="s">
        <v>2268</v>
      </c>
      <c r="I24" s="1252">
        <f>2</f>
        <v>2</v>
      </c>
      <c r="J24" s="1266" t="str">
        <f>IFERROR(INDEX($R$10:$R$170,MATCH($I24,$Z$10:$Z$170,0)),"")</f>
        <v>GASPILLAGE</v>
      </c>
      <c r="K24" s="1266" t="str">
        <f>IFERROR(INDEX($S$10:$S$170,MATCH($I24,$Z$10:$Z$170,0)),"")</f>
        <v>NEG</v>
      </c>
      <c r="L24" s="1266" t="str">
        <f>IFERROR(INDEX($T$10:$T$170,MATCH($I24,$Z$10:$Z$170,0)),"")</f>
        <v>gaspillage</v>
      </c>
      <c r="M24" s="1266">
        <f>IFERROR(INDEX($U$10:$U$170,MATCH($I24,$Z$10:$Z$170,0)),"")</f>
        <v>3</v>
      </c>
      <c r="N24" s="1252" t="str">
        <f>IFERROR(INDEX($X$10:$X$170,MATCH($I24,$Z$10:$Z$170,0)),"")</f>
        <v>Tu as repéré le gaspillage.</v>
      </c>
      <c r="O24" s="1252" t="str">
        <f>IFERROR(INDEX($Y$10:$Y$170,MATCH($I24,$Z$10:$Z$170,0)),"")</f>
        <v>Faire chercher cause et action.</v>
      </c>
      <c r="Q24" s="993"/>
      <c r="R24" s="1196" t="s">
        <v>3628</v>
      </c>
      <c r="S24" s="58" t="s">
        <v>3631</v>
      </c>
      <c r="T24" s="58" t="s">
        <v>3688</v>
      </c>
      <c r="U24" s="1195">
        <v>3</v>
      </c>
      <c r="V24" s="58" t="str">
        <f>IF($T24="","",IF(ISNUMBER(SEARCH(" "&amp;$T24&amp;" "," "&amp;$J$4&amp;" ")),"OUI",""))</f>
        <v/>
      </c>
      <c r="W24" s="1195">
        <f>IF($V24="OUI",$U24,0)</f>
        <v>0</v>
      </c>
      <c r="X24" s="58" t="s">
        <v>3686</v>
      </c>
      <c r="Y24" s="1194" t="s">
        <v>3689</v>
      </c>
      <c r="Z24" s="1189" t="str">
        <f>IF($V24="OUI",COUNTIF($V$10:V24,"OUI"),"")</f>
        <v/>
      </c>
      <c r="AA24" s="1188" t="str">
        <f>IF($V24="OUI",COUNTIFS($R$10:R24,$R24,$V$10:V24,"OUI"),"")</f>
        <v/>
      </c>
      <c r="AB24" s="1201" t="str">
        <f>IF(AND($V24="OUI",$AA24=1),$R24,"")</f>
        <v/>
      </c>
    </row>
    <row r="25" spans="1:28" ht="42" customHeight="1" x14ac:dyDescent="0.25">
      <c r="A25" s="1209"/>
      <c r="B25" s="1238" t="s">
        <v>2262</v>
      </c>
      <c r="C25" s="1248" t="s">
        <v>2269</v>
      </c>
      <c r="D25" s="1248" t="s">
        <v>1235</v>
      </c>
      <c r="E25" s="1248" t="s">
        <v>170</v>
      </c>
      <c r="F25" s="1247" t="str">
        <f>IF($C$4="","",IF(ISNUMBER(SEARCH(" "&amp;LOWER(C25)&amp;" "," "&amp;$C$5&amp;" ")),"OUI",""))</f>
        <v>OUI</v>
      </c>
      <c r="G25" s="1244" t="s">
        <v>2270</v>
      </c>
      <c r="H25" s="1243" t="s">
        <v>2271</v>
      </c>
      <c r="I25" s="1252">
        <f>3</f>
        <v>3</v>
      </c>
      <c r="J25" s="1266" t="str">
        <f>IFERROR(INDEX($R$10:$R$170,MATCH($I25,$Z$10:$Z$170,0)),"")</f>
        <v>ACCEPTABILITE</v>
      </c>
      <c r="K25" s="1266" t="str">
        <f>IFERROR(INDEX($S$10:$S$170,MATCH($I25,$Z$10:$Z$170,0)),"")</f>
        <v>INFO</v>
      </c>
      <c r="L25" s="1266" t="str">
        <f>IFERROR(INDEX($T$10:$T$170,MATCH($I25,$Z$10:$Z$170,0)),"")</f>
        <v>satisfaction</v>
      </c>
      <c r="M25" s="1266">
        <f>IFERROR(INDEX($U$10:$U$170,MATCH($I25,$Z$10:$Z$170,0)),"")</f>
        <v>1</v>
      </c>
      <c r="N25" s="1252" t="str">
        <f>IFERROR(INDEX($X$10:$X$170,MATCH($I25,$Z$10:$Z$170,0)),"")</f>
        <v>Tu as parlé de satisfaction.</v>
      </c>
      <c r="O25" s="1252" t="str">
        <f>IFERROR(INDEX($Y$10:$Y$170,MATCH($I25,$Z$10:$Z$170,0)),"")</f>
        <v>Faire demander mesure ou retour.</v>
      </c>
      <c r="Q25" s="993"/>
      <c r="R25" s="1196" t="s">
        <v>3628</v>
      </c>
      <c r="S25" s="58" t="s">
        <v>3631</v>
      </c>
      <c r="T25" s="58" t="s">
        <v>3690</v>
      </c>
      <c r="U25" s="1195">
        <v>3</v>
      </c>
      <c r="V25" s="58" t="str">
        <f>IF($T25="","",IF(ISNUMBER(SEARCH(" "&amp;$T25&amp;" "," "&amp;$J$4&amp;" ")),"OUI",""))</f>
        <v/>
      </c>
      <c r="W25" s="1195">
        <f>IF($V25="OUI",$U25,0)</f>
        <v>0</v>
      </c>
      <c r="X25" s="58" t="s">
        <v>3691</v>
      </c>
      <c r="Y25" s="1194" t="s">
        <v>3692</v>
      </c>
      <c r="Z25" s="1189" t="str">
        <f>IF($V25="OUI",COUNTIF($V$10:V25,"OUI"),"")</f>
        <v/>
      </c>
      <c r="AA25" s="1188" t="str">
        <f>IF($V25="OUI",COUNTIFS($R$10:R25,$R25,$V$10:V25,"OUI"),"")</f>
        <v/>
      </c>
      <c r="AB25" s="1201" t="str">
        <f>IF(AND($V25="OUI",$AA25=1),$R25,"")</f>
        <v/>
      </c>
    </row>
    <row r="26" spans="1:28" ht="42" customHeight="1" x14ac:dyDescent="0.25">
      <c r="A26" s="1209"/>
      <c r="B26" s="1238" t="s">
        <v>2262</v>
      </c>
      <c r="C26" s="1248" t="s">
        <v>2272</v>
      </c>
      <c r="D26" s="1248" t="s">
        <v>1235</v>
      </c>
      <c r="E26" s="1248" t="s">
        <v>92</v>
      </c>
      <c r="F26" s="1247" t="str">
        <f>IF($C$4="","",IF(ISNUMBER(SEARCH(" "&amp;LOWER(C26)&amp;" "," "&amp;$C$5&amp;" ")),"OUI",""))</f>
        <v/>
      </c>
      <c r="G26" s="1244" t="s">
        <v>2273</v>
      </c>
      <c r="H26" s="1243" t="s">
        <v>2274</v>
      </c>
      <c r="I26" s="1252">
        <f>4</f>
        <v>4</v>
      </c>
      <c r="J26" s="1266" t="str">
        <f>IFERROR(INDEX($R$10:$R$170,MATCH($I26,$Z$10:$Z$170,0)),"")</f>
        <v>COMMUNICATION</v>
      </c>
      <c r="K26" s="1266" t="str">
        <f>IFERROR(INDEX($S$10:$S$170,MATCH($I26,$Z$10:$Z$170,0)),"")</f>
        <v>INFO</v>
      </c>
      <c r="L26" s="1266" t="str">
        <f>IFERROR(INDEX($T$10:$T$170,MATCH($I26,$Z$10:$Z$170,0)),"")</f>
        <v>presenter</v>
      </c>
      <c r="M26" s="1266">
        <f>IFERROR(INDEX($U$10:$U$170,MATCH($I26,$Z$10:$Z$170,0)),"")</f>
        <v>1</v>
      </c>
      <c r="N26" s="1252" t="str">
        <f>IFERROR(INDEX($X$10:$X$170,MATCH($I26,$Z$10:$Z$170,0)),"")</f>
        <v>Tu as pensé à la présentation.</v>
      </c>
      <c r="O26" s="1252" t="str">
        <f>IFERROR(INDEX($Y$10:$Y$170,MATCH($I26,$Z$10:$Z$170,0)),"")</f>
        <v>Faire préciser sans culpabiliser.</v>
      </c>
      <c r="Q26" s="993"/>
      <c r="R26" s="1196" t="s">
        <v>3628</v>
      </c>
      <c r="S26" s="58" t="s">
        <v>3631</v>
      </c>
      <c r="T26" s="58" t="s">
        <v>3693</v>
      </c>
      <c r="U26" s="1195">
        <v>2</v>
      </c>
      <c r="V26" s="58" t="str">
        <f>IF($T26="","",IF(ISNUMBER(SEARCH(" "&amp;$T26&amp;" "," "&amp;$J$4&amp;" ")),"OUI",""))</f>
        <v/>
      </c>
      <c r="W26" s="1195">
        <f>IF($V26="OUI",$U26,0)</f>
        <v>0</v>
      </c>
      <c r="X26" s="58" t="s">
        <v>3694</v>
      </c>
      <c r="Y26" s="1194" t="s">
        <v>3695</v>
      </c>
      <c r="Z26" s="1189" t="str">
        <f>IF($V26="OUI",COUNTIF($V$10:V26,"OUI"),"")</f>
        <v/>
      </c>
      <c r="AA26" s="1188" t="str">
        <f>IF($V26="OUI",COUNTIFS($R$10:R26,$R26,$V$10:V26,"OUI"),"")</f>
        <v/>
      </c>
      <c r="AB26" s="1201" t="str">
        <f>IF(AND($V26="OUI",$AA26=1),$R26,"")</f>
        <v/>
      </c>
    </row>
    <row r="27" spans="1:28" ht="42" customHeight="1" x14ac:dyDescent="0.25">
      <c r="A27" s="1209"/>
      <c r="B27" s="1238" t="s">
        <v>2262</v>
      </c>
      <c r="C27" s="1248" t="s">
        <v>2275</v>
      </c>
      <c r="D27" s="1248" t="s">
        <v>1235</v>
      </c>
      <c r="E27" s="1248" t="s">
        <v>170</v>
      </c>
      <c r="F27" s="1247" t="str">
        <f>IF($C$4="","",IF(ISNUMBER(SEARCH(" "&amp;LOWER(C27)&amp;" "," "&amp;$C$5&amp;" ")),"OUI",""))</f>
        <v>OUI</v>
      </c>
      <c r="G27" s="1244" t="s">
        <v>2276</v>
      </c>
      <c r="H27" s="1243" t="s">
        <v>2277</v>
      </c>
      <c r="I27" s="1252">
        <f>5</f>
        <v>5</v>
      </c>
      <c r="J27" s="1266" t="str">
        <f>IFERROR(INDEX($R$10:$R$170,MATCH($I27,$Z$10:$Z$170,0)),"")</f>
        <v>ALLERGENES</v>
      </c>
      <c r="K27" s="1266" t="str">
        <f>IFERROR(INDEX($S$10:$S$170,MATCH($I27,$Z$10:$Z$170,0)),"")</f>
        <v>VIGILANCE</v>
      </c>
      <c r="L27" s="1266" t="str">
        <f>IFERROR(INDEX($T$10:$T$170,MATCH($I27,$Z$10:$Z$170,0)),"")</f>
        <v>gluten</v>
      </c>
      <c r="M27" s="1266">
        <f>IFERROR(INDEX($U$10:$U$170,MATCH($I27,$Z$10:$Z$170,0)),"")</f>
        <v>3</v>
      </c>
      <c r="N27" s="1252" t="str">
        <f>IFERROR(INDEX($X$10:$X$170,MATCH($I27,$Z$10:$Z$170,0)),"")</f>
        <v>Tu as repéré l'allergène gluten.</v>
      </c>
      <c r="O27" s="1252" t="str">
        <f>IFERROR(INDEX($Y$10:$Y$170,MATCH($I27,$Z$10:$Z$170,0)),"")</f>
        <v>Exiger affichage et alternative.</v>
      </c>
      <c r="Q27" s="993"/>
      <c r="R27" s="1196" t="s">
        <v>3628</v>
      </c>
      <c r="S27" s="58" t="s">
        <v>3696</v>
      </c>
      <c r="T27" s="58" t="s">
        <v>3697</v>
      </c>
      <c r="U27" s="1195">
        <v>2</v>
      </c>
      <c r="V27" s="58" t="str">
        <f>IF($T27="","",IF(ISNUMBER(SEARCH(" "&amp;$T27&amp;" "," "&amp;$J$4&amp;" ")),"OUI",""))</f>
        <v/>
      </c>
      <c r="W27" s="1195">
        <f>IF($V27="OUI",$U27,0)</f>
        <v>0</v>
      </c>
      <c r="X27" s="58" t="s">
        <v>3698</v>
      </c>
      <c r="Y27" s="1194" t="s">
        <v>3699</v>
      </c>
      <c r="Z27" s="1189" t="str">
        <f>IF($V27="OUI",COUNTIF($V$10:V27,"OUI"),"")</f>
        <v/>
      </c>
      <c r="AA27" s="1188" t="str">
        <f>IF($V27="OUI",COUNTIFS($R$10:R27,$R27,$V$10:V27,"OUI"),"")</f>
        <v/>
      </c>
      <c r="AB27" s="1201" t="str">
        <f>IF(AND($V27="OUI",$AA27=1),$R27,"")</f>
        <v/>
      </c>
    </row>
    <row r="28" spans="1:28" ht="42" customHeight="1" x14ac:dyDescent="0.25">
      <c r="A28" s="1209"/>
      <c r="B28" s="1238" t="s">
        <v>2278</v>
      </c>
      <c r="C28" s="1248" t="s">
        <v>2196</v>
      </c>
      <c r="D28" s="1248" t="s">
        <v>1588</v>
      </c>
      <c r="E28" s="1248" t="s">
        <v>92</v>
      </c>
      <c r="F28" s="1247" t="str">
        <f>IF($C$4="","",IF(ISNUMBER(SEARCH(" "&amp;LOWER(C28)&amp;" "," "&amp;$C$5&amp;" ")),"OUI",""))</f>
        <v>OUI</v>
      </c>
      <c r="G28" s="1244" t="s">
        <v>2279</v>
      </c>
      <c r="H28" s="1243" t="s">
        <v>1589</v>
      </c>
      <c r="I28" s="1252">
        <f>6</f>
        <v>6</v>
      </c>
      <c r="J28" s="1266" t="str">
        <f>IFERROR(INDEX($R$10:$R$170,MATCH($I28,$Z$10:$Z$170,0)),"")</f>
        <v>ALLERGENES</v>
      </c>
      <c r="K28" s="1266" t="str">
        <f>IFERROR(INDEX($S$10:$S$170,MATCH($I28,$Z$10:$Z$170,0)),"")</f>
        <v>VIGILANCE</v>
      </c>
      <c r="L28" s="1266" t="str">
        <f>IFERROR(INDEX($T$10:$T$170,MATCH($I28,$Z$10:$Z$170,0)),"")</f>
        <v>seitan</v>
      </c>
      <c r="M28" s="1266">
        <f>IFERROR(INDEX($U$10:$U$170,MATCH($I28,$Z$10:$Z$170,0)),"")</f>
        <v>3</v>
      </c>
      <c r="N28" s="1252" t="str">
        <f>IFERROR(INDEX($X$10:$X$170,MATCH($I28,$Z$10:$Z$170,0)),"")</f>
        <v>Tu as cité le seitan.</v>
      </c>
      <c r="O28" s="1252" t="str">
        <f>IFERROR(INDEX($Y$10:$Y$170,MATCH($I28,$Z$10:$Z$170,0)),"")</f>
        <v>Rappeler gluten obligatoire.</v>
      </c>
      <c r="Q28" s="993"/>
      <c r="R28" s="1196" t="s">
        <v>3628</v>
      </c>
      <c r="S28" s="58" t="s">
        <v>3700</v>
      </c>
      <c r="T28" s="58" t="s">
        <v>2037</v>
      </c>
      <c r="U28" s="1195">
        <v>1</v>
      </c>
      <c r="V28" s="58" t="str">
        <f>IF($T28="","",IF(ISNUMBER(SEARCH(" "&amp;$T28&amp;" "," "&amp;$J$4&amp;" ")),"OUI",""))</f>
        <v>OUI</v>
      </c>
      <c r="W28" s="1195">
        <f>IF($V28="OUI",$U28,0)</f>
        <v>1</v>
      </c>
      <c r="X28" s="58" t="s">
        <v>3701</v>
      </c>
      <c r="Y28" s="1194" t="s">
        <v>3702</v>
      </c>
      <c r="Z28" s="1189">
        <f>IF($V28="OUI",COUNTIF($V$10:V28,"OUI"),"")</f>
        <v>1</v>
      </c>
      <c r="AA28" s="1188">
        <f>IF($V28="OUI",COUNTIFS($R$10:R28,$R28,$V$10:V28,"OUI"),"")</f>
        <v>1</v>
      </c>
      <c r="AB28" s="1201" t="str">
        <f>IF(AND($V28="OUI",$AA28=1),$R28,"")</f>
        <v>SAUCE</v>
      </c>
    </row>
    <row r="29" spans="1:28" ht="42" customHeight="1" x14ac:dyDescent="0.25">
      <c r="A29" s="1209"/>
      <c r="B29" s="1238" t="s">
        <v>2278</v>
      </c>
      <c r="C29" s="1248" t="s">
        <v>1589</v>
      </c>
      <c r="D29" s="1248" t="s">
        <v>1588</v>
      </c>
      <c r="E29" s="1248" t="s">
        <v>92</v>
      </c>
      <c r="F29" s="1247" t="str">
        <f>IF($C$4="","",IF(ISNUMBER(SEARCH(" "&amp;LOWER(C29)&amp;" "," "&amp;$C$5&amp;" ")),"OUI",""))</f>
        <v/>
      </c>
      <c r="G29" s="1244" t="s">
        <v>2280</v>
      </c>
      <c r="H29" s="1243" t="s">
        <v>2281</v>
      </c>
      <c r="I29" s="1252">
        <f>7</f>
        <v>7</v>
      </c>
      <c r="J29" s="1266" t="str">
        <f>IFERROR(INDEX($R$10:$R$170,MATCH($I29,$Z$10:$Z$170,0)),"")</f>
        <v>ALLERGENES</v>
      </c>
      <c r="K29" s="1266" t="str">
        <f>IFERROR(INDEX($S$10:$S$170,MATCH($I29,$Z$10:$Z$170,0)),"")</f>
        <v>INFO</v>
      </c>
      <c r="L29" s="1266" t="str">
        <f>IFERROR(INDEX($T$10:$T$170,MATCH($I29,$Z$10:$Z$170,0)),"")</f>
        <v>allergene</v>
      </c>
      <c r="M29" s="1266">
        <f>IFERROR(INDEX($U$10:$U$170,MATCH($I29,$Z$10:$Z$170,0)),"")</f>
        <v>2</v>
      </c>
      <c r="N29" s="1252" t="str">
        <f>IFERROR(INDEX($X$10:$X$170,MATCH($I29,$Z$10:$Z$170,0)),"")</f>
        <v>Tu as pensé aux allergènes.</v>
      </c>
      <c r="O29" s="1252" t="str">
        <f>IFERROR(INDEX($Y$10:$Y$170,MATCH($I29,$Z$10:$Z$170,0)),"")</f>
        <v>Faire citer lesquels.</v>
      </c>
      <c r="Q29" s="993"/>
      <c r="R29" s="1196" t="s">
        <v>3628</v>
      </c>
      <c r="S29" s="58" t="s">
        <v>3700</v>
      </c>
      <c r="T29" s="58" t="s">
        <v>3703</v>
      </c>
      <c r="U29" s="1195">
        <v>1</v>
      </c>
      <c r="V29" s="58" t="str">
        <f>IF($T29="","",IF(ISNUMBER(SEARCH(" "&amp;$T29&amp;" "," "&amp;$J$4&amp;" ")),"OUI",""))</f>
        <v/>
      </c>
      <c r="W29" s="1195">
        <f>IF($V29="OUI",$U29,0)</f>
        <v>0</v>
      </c>
      <c r="X29" s="58" t="s">
        <v>3704</v>
      </c>
      <c r="Y29" s="1194" t="s">
        <v>3705</v>
      </c>
      <c r="Z29" s="1189" t="str">
        <f>IF($V29="OUI",COUNTIF($V$10:V29,"OUI"),"")</f>
        <v/>
      </c>
      <c r="AA29" s="1188" t="str">
        <f>IF($V29="OUI",COUNTIFS($R$10:R29,$R29,$V$10:V29,"OUI"),"")</f>
        <v/>
      </c>
      <c r="AB29" s="1201" t="str">
        <f>IF(AND($V29="OUI",$AA29=1),$R29,"")</f>
        <v/>
      </c>
    </row>
    <row r="30" spans="1:28" ht="42" customHeight="1" x14ac:dyDescent="0.25">
      <c r="A30" s="1209"/>
      <c r="B30" s="1238" t="s">
        <v>2278</v>
      </c>
      <c r="C30" s="1248" t="s">
        <v>2030</v>
      </c>
      <c r="D30" s="1248" t="s">
        <v>1588</v>
      </c>
      <c r="E30" s="1248" t="s">
        <v>92</v>
      </c>
      <c r="F30" s="1247" t="str">
        <f>IF($C$4="","",IF(ISNUMBER(SEARCH(" "&amp;LOWER(C30)&amp;" "," "&amp;$C$5&amp;" ")),"OUI",""))</f>
        <v>OUI</v>
      </c>
      <c r="G30" s="1244" t="s">
        <v>2282</v>
      </c>
      <c r="H30" s="1243" t="s">
        <v>2283</v>
      </c>
      <c r="I30" s="1252">
        <f>8</f>
        <v>8</v>
      </c>
      <c r="J30" s="1266" t="str">
        <f>IFERROR(INDEX($R$10:$R$170,MATCH($I30,$Z$10:$Z$170,0)),"")</f>
        <v>PROTEINES</v>
      </c>
      <c r="K30" s="1266" t="str">
        <f>IFERROR(INDEX($S$10:$S$170,MATCH($I30,$Z$10:$Z$170,0)),"")</f>
        <v>INFO</v>
      </c>
      <c r="L30" s="1266" t="str">
        <f>IFERROR(INDEX($T$10:$T$170,MATCH($I30,$Z$10:$Z$170,0)),"")</f>
        <v>lentilles</v>
      </c>
      <c r="M30" s="1266">
        <f>IFERROR(INDEX($U$10:$U$170,MATCH($I30,$Z$10:$Z$170,0)),"")</f>
        <v>1</v>
      </c>
      <c r="N30" s="1252" t="str">
        <f>IFERROR(INDEX($X$10:$X$170,MATCH($I30,$Z$10:$Z$170,0)),"")</f>
        <v>Tu as cité les lentilles.</v>
      </c>
      <c r="O30" s="1252" t="str">
        <f>IFERROR(INDEX($Y$10:$Y$170,MATCH($I30,$Z$10:$Z$170,0)),"")</f>
        <v>Éviter de ne citer que cette source.</v>
      </c>
      <c r="Q30" s="993"/>
      <c r="R30" s="1196" t="s">
        <v>3628</v>
      </c>
      <c r="S30" s="58" t="s">
        <v>3700</v>
      </c>
      <c r="T30" s="58" t="s">
        <v>3706</v>
      </c>
      <c r="U30" s="1195">
        <v>1</v>
      </c>
      <c r="V30" s="58" t="str">
        <f>IF($T30="","",IF(ISNUMBER(SEARCH(" "&amp;$T30&amp;" "," "&amp;$J$4&amp;" ")),"OUI",""))</f>
        <v/>
      </c>
      <c r="W30" s="1195">
        <f>IF($V30="OUI",$U30,0)</f>
        <v>0</v>
      </c>
      <c r="X30" s="58" t="s">
        <v>3707</v>
      </c>
      <c r="Y30" s="1194" t="s">
        <v>3708</v>
      </c>
      <c r="Z30" s="1189" t="str">
        <f>IF($V30="OUI",COUNTIF($V$10:V30,"OUI"),"")</f>
        <v/>
      </c>
      <c r="AA30" s="1188" t="str">
        <f>IF($V30="OUI",COUNTIFS($R$10:R30,$R30,$V$10:V30,"OUI"),"")</f>
        <v/>
      </c>
      <c r="AB30" s="1201" t="str">
        <f>IF(AND($V30="OUI",$AA30=1),$R30,"")</f>
        <v/>
      </c>
    </row>
    <row r="31" spans="1:28" ht="42" customHeight="1" x14ac:dyDescent="0.25">
      <c r="A31" s="1209"/>
      <c r="B31" s="1238" t="s">
        <v>2278</v>
      </c>
      <c r="C31" s="1248" t="s">
        <v>2284</v>
      </c>
      <c r="D31" s="1248" t="s">
        <v>1588</v>
      </c>
      <c r="E31" s="1248" t="s">
        <v>92</v>
      </c>
      <c r="F31" s="1247" t="str">
        <f>IF($C$4="","",IF(ISNUMBER(SEARCH(" "&amp;LOWER(C31)&amp;" "," "&amp;$C$5&amp;" ")),"OUI",""))</f>
        <v/>
      </c>
      <c r="G31" s="1244" t="s">
        <v>2285</v>
      </c>
      <c r="H31" s="1243" t="s">
        <v>2286</v>
      </c>
      <c r="I31" s="1252">
        <f>9</f>
        <v>9</v>
      </c>
      <c r="J31" s="1266" t="str">
        <f>IFERROR(INDEX($R$10:$R$170,MATCH($I31,$Z$10:$Z$170,0)),"")</f>
        <v>PROTEINES</v>
      </c>
      <c r="K31" s="1266" t="str">
        <f>IFERROR(INDEX($S$10:$S$170,MATCH($I31,$Z$10:$Z$170,0)),"")</f>
        <v>INFO</v>
      </c>
      <c r="L31" s="1266" t="str">
        <f>IFERROR(INDEX($T$10:$T$170,MATCH($I31,$Z$10:$Z$170,0)),"")</f>
        <v>haricots rouges</v>
      </c>
      <c r="M31" s="1266">
        <f>IFERROR(INDEX($U$10:$U$170,MATCH($I31,$Z$10:$Z$170,0)),"")</f>
        <v>1</v>
      </c>
      <c r="N31" s="1252" t="str">
        <f>IFERROR(INDEX($X$10:$X$170,MATCH($I31,$Z$10:$Z$170,0)),"")</f>
        <v>Tu as cité les haricots rouges.</v>
      </c>
      <c r="O31" s="1252" t="str">
        <f>IFERROR(INDEX($Y$10:$Y$170,MATCH($I31,$Z$10:$Z$170,0)),"")</f>
        <v>Relier à chili, riz, sauce.</v>
      </c>
      <c r="Q31" s="993"/>
      <c r="R31" s="1196" t="s">
        <v>3635</v>
      </c>
      <c r="S31" s="58" t="s">
        <v>3631</v>
      </c>
      <c r="T31" s="58" t="s">
        <v>3709</v>
      </c>
      <c r="U31" s="1195">
        <v>3</v>
      </c>
      <c r="V31" s="58" t="str">
        <f>IF($T31="","",IF(ISNUMBER(SEARCH(" "&amp;$T31&amp;" "," "&amp;$J$4&amp;" ")),"OUI",""))</f>
        <v/>
      </c>
      <c r="W31" s="1195">
        <f>IF($V31="OUI",$U31,0)</f>
        <v>0</v>
      </c>
      <c r="X31" s="58" t="s">
        <v>3710</v>
      </c>
      <c r="Y31" s="1194" t="s">
        <v>3711</v>
      </c>
      <c r="Z31" s="1189" t="str">
        <f>IF($V31="OUI",COUNTIF($V$10:V31,"OUI"),"")</f>
        <v/>
      </c>
      <c r="AA31" s="1188" t="str">
        <f>IF($V31="OUI",COUNTIFS($R$10:R31,$R31,$V$10:V31,"OUI"),"")</f>
        <v/>
      </c>
      <c r="AB31" s="1201" t="str">
        <f>IF(AND($V31="OUI",$AA31=1),$R31,"")</f>
        <v/>
      </c>
    </row>
    <row r="32" spans="1:28" ht="42" customHeight="1" x14ac:dyDescent="0.25">
      <c r="A32" s="1209"/>
      <c r="B32" s="1238" t="s">
        <v>2278</v>
      </c>
      <c r="C32" s="1248" t="s">
        <v>2287</v>
      </c>
      <c r="D32" s="1248" t="s">
        <v>1588</v>
      </c>
      <c r="E32" s="1248" t="s">
        <v>92</v>
      </c>
      <c r="F32" s="1247" t="str">
        <f>IF($C$4="","",IF(ISNUMBER(SEARCH(" "&amp;LOWER(C32)&amp;" "," "&amp;$C$5&amp;" ")),"OUI",""))</f>
        <v/>
      </c>
      <c r="G32" s="1244" t="s">
        <v>2288</v>
      </c>
      <c r="H32" s="1243" t="s">
        <v>2289</v>
      </c>
      <c r="I32" s="1252">
        <f>10</f>
        <v>10</v>
      </c>
      <c r="J32" s="1266" t="str">
        <f>IFERROR(INDEX($R$10:$R$170,MATCH($I32,$Z$10:$Z$170,0)),"")</f>
        <v>PROTEINES</v>
      </c>
      <c r="K32" s="1266" t="str">
        <f>IFERROR(INDEX($S$10:$S$170,MATCH($I32,$Z$10:$Z$170,0)),"")</f>
        <v>INFO</v>
      </c>
      <c r="L32" s="1266" t="str">
        <f>IFERROR(INDEX($T$10:$T$170,MATCH($I32,$Z$10:$Z$170,0)),"")</f>
        <v>haricots</v>
      </c>
      <c r="M32" s="1266">
        <f>IFERROR(INDEX($U$10:$U$170,MATCH($I32,$Z$10:$Z$170,0)),"")</f>
        <v>1</v>
      </c>
      <c r="N32" s="1252" t="str">
        <f>IFERROR(INDEX($X$10:$X$170,MATCH($I32,$Z$10:$Z$170,0)),"")</f>
        <v>Tu as cité les haricots.</v>
      </c>
      <c r="O32" s="1252" t="str">
        <f>IFERROR(INDEX($Y$10:$Y$170,MATCH($I32,$Z$10:$Z$170,0)),"")</f>
        <v>Faire préciser variété.</v>
      </c>
      <c r="Q32" s="993"/>
      <c r="R32" s="1196" t="s">
        <v>3635</v>
      </c>
      <c r="S32" s="58" t="s">
        <v>3631</v>
      </c>
      <c r="T32" s="58" t="s">
        <v>3712</v>
      </c>
      <c r="U32" s="1195">
        <v>3</v>
      </c>
      <c r="V32" s="58" t="str">
        <f>IF($T32="","",IF(ISNUMBER(SEARCH(" "&amp;$T32&amp;" "," "&amp;$J$4&amp;" ")),"OUI",""))</f>
        <v/>
      </c>
      <c r="W32" s="1195">
        <f>IF($V32="OUI",$U32,0)</f>
        <v>0</v>
      </c>
      <c r="X32" s="58" t="s">
        <v>3713</v>
      </c>
      <c r="Y32" s="1194" t="s">
        <v>3714</v>
      </c>
      <c r="Z32" s="1189" t="str">
        <f>IF($V32="OUI",COUNTIF($V$10:V32,"OUI"),"")</f>
        <v/>
      </c>
      <c r="AA32" s="1188" t="str">
        <f>IF($V32="OUI",COUNTIFS($R$10:R32,$R32,$V$10:V32,"OUI"),"")</f>
        <v/>
      </c>
      <c r="AB32" s="1201" t="str">
        <f>IF(AND($V32="OUI",$AA32=1),$R32,"")</f>
        <v/>
      </c>
    </row>
    <row r="33" spans="1:28" ht="42" customHeight="1" x14ac:dyDescent="0.25">
      <c r="A33" s="1209"/>
      <c r="B33" s="1238" t="s">
        <v>2278</v>
      </c>
      <c r="C33" s="1248" t="s">
        <v>2290</v>
      </c>
      <c r="D33" s="1248" t="s">
        <v>1588</v>
      </c>
      <c r="E33" s="1248" t="s">
        <v>170</v>
      </c>
      <c r="F33" s="1247" t="str">
        <f>IF($C$4="","",IF(ISNUMBER(SEARCH(" "&amp;LOWER(C33)&amp;" "," "&amp;$C$5&amp;" ")),"OUI",""))</f>
        <v/>
      </c>
      <c r="G33" s="1244" t="s">
        <v>2291</v>
      </c>
      <c r="H33" s="1243" t="s">
        <v>2292</v>
      </c>
      <c r="I33" s="1265"/>
      <c r="J33" s="1250"/>
      <c r="K33" s="1250"/>
      <c r="L33" s="1250"/>
      <c r="M33" s="1250"/>
      <c r="N33" s="1250"/>
      <c r="O33" s="1249"/>
      <c r="Q33" s="993"/>
      <c r="R33" s="1196" t="s">
        <v>3635</v>
      </c>
      <c r="S33" s="58" t="s">
        <v>3631</v>
      </c>
      <c r="T33" s="58" t="s">
        <v>3715</v>
      </c>
      <c r="U33" s="1195">
        <v>2</v>
      </c>
      <c r="V33" s="58" t="str">
        <f>IF($T33="","",IF(ISNUMBER(SEARCH(" "&amp;$T33&amp;" "," "&amp;$J$4&amp;" ")),"OUI",""))</f>
        <v/>
      </c>
      <c r="W33" s="1195">
        <f>IF($V33="OUI",$U33,0)</f>
        <v>0</v>
      </c>
      <c r="X33" s="58" t="s">
        <v>3716</v>
      </c>
      <c r="Y33" s="1194" t="s">
        <v>3717</v>
      </c>
      <c r="Z33" s="1189" t="str">
        <f>IF($V33="OUI",COUNTIF($V$10:V33,"OUI"),"")</f>
        <v/>
      </c>
      <c r="AA33" s="1188" t="str">
        <f>IF($V33="OUI",COUNTIFS($R$10:R33,$R33,$V$10:V33,"OUI"),"")</f>
        <v/>
      </c>
      <c r="AB33" s="1201" t="str">
        <f>IF(AND($V33="OUI",$AA33=1),$R33,"")</f>
        <v/>
      </c>
    </row>
    <row r="34" spans="1:28" ht="42" customHeight="1" thickBot="1" x14ac:dyDescent="0.3">
      <c r="A34" s="1209"/>
      <c r="B34" s="1238" t="s">
        <v>2278</v>
      </c>
      <c r="C34" s="1248" t="s">
        <v>2035</v>
      </c>
      <c r="D34" s="1248" t="s">
        <v>1588</v>
      </c>
      <c r="E34" s="1248" t="s">
        <v>92</v>
      </c>
      <c r="F34" s="1247" t="str">
        <f>IF($C$4="","",IF(ISNUMBER(SEARCH(" "&amp;LOWER(C34)&amp;" "," "&amp;$C$5&amp;" ")),"OUI",""))</f>
        <v/>
      </c>
      <c r="G34" s="1244" t="s">
        <v>2293</v>
      </c>
      <c r="H34" s="1243" t="s">
        <v>2294</v>
      </c>
      <c r="I34" s="1264"/>
      <c r="J34" s="1263"/>
      <c r="K34" s="1263"/>
      <c r="L34" s="1263"/>
      <c r="M34" s="1263"/>
      <c r="N34" s="1263"/>
      <c r="O34" s="1262"/>
      <c r="Q34" s="993"/>
      <c r="R34" s="1196" t="s">
        <v>3635</v>
      </c>
      <c r="S34" s="58" t="s">
        <v>3631</v>
      </c>
      <c r="T34" s="58" t="s">
        <v>3718</v>
      </c>
      <c r="U34" s="1195">
        <v>2</v>
      </c>
      <c r="V34" s="58" t="str">
        <f>IF($T34="","",IF(ISNUMBER(SEARCH(" "&amp;$T34&amp;" "," "&amp;$J$4&amp;" ")),"OUI",""))</f>
        <v/>
      </c>
      <c r="W34" s="1195">
        <f>IF($V34="OUI",$U34,0)</f>
        <v>0</v>
      </c>
      <c r="X34" s="58" t="s">
        <v>3719</v>
      </c>
      <c r="Y34" s="1194" t="s">
        <v>3720</v>
      </c>
      <c r="Z34" s="1189" t="str">
        <f>IF($V34="OUI",COUNTIF($V$10:V34,"OUI"),"")</f>
        <v/>
      </c>
      <c r="AA34" s="1188" t="str">
        <f>IF($V34="OUI",COUNTIFS($R$10:R34,$R34,$V$10:V34,"OUI"),"")</f>
        <v/>
      </c>
      <c r="AB34" s="1201" t="str">
        <f>IF(AND($V34="OUI",$AA34=1),$R34,"")</f>
        <v/>
      </c>
    </row>
    <row r="35" spans="1:28" ht="42" customHeight="1" x14ac:dyDescent="0.25">
      <c r="A35" s="1209"/>
      <c r="B35" s="1238" t="s">
        <v>2278</v>
      </c>
      <c r="C35" s="1248" t="s">
        <v>2295</v>
      </c>
      <c r="D35" s="1248" t="s">
        <v>1588</v>
      </c>
      <c r="E35" s="1248" t="s">
        <v>92</v>
      </c>
      <c r="F35" s="1247" t="str">
        <f>IF($C$4="","",IF(ISNUMBER(SEARCH(" "&amp;LOWER(C35)&amp;" "," "&amp;$C$5&amp;" ")),"OUI",""))</f>
        <v/>
      </c>
      <c r="G35" s="1244" t="s">
        <v>2296</v>
      </c>
      <c r="H35" s="1243" t="s">
        <v>2297</v>
      </c>
      <c r="I35" s="1261" t="s">
        <v>4399</v>
      </c>
      <c r="J35" s="1260"/>
      <c r="K35" s="1260"/>
      <c r="L35" s="1260"/>
      <c r="M35" s="1260"/>
      <c r="N35" s="1260"/>
      <c r="O35" s="1260"/>
      <c r="Q35" s="993"/>
      <c r="R35" s="1196" t="s">
        <v>3635</v>
      </c>
      <c r="S35" s="58" t="s">
        <v>3696</v>
      </c>
      <c r="T35" s="58" t="s">
        <v>3721</v>
      </c>
      <c r="U35" s="1195">
        <v>2</v>
      </c>
      <c r="V35" s="58" t="str">
        <f>IF($T35="","",IF(ISNUMBER(SEARCH(" "&amp;$T35&amp;" "," "&amp;$J$4&amp;" ")),"OUI",""))</f>
        <v/>
      </c>
      <c r="W35" s="1195">
        <f>IF($V35="OUI",$U35,0)</f>
        <v>0</v>
      </c>
      <c r="X35" s="58" t="s">
        <v>3722</v>
      </c>
      <c r="Y35" s="1194" t="s">
        <v>3723</v>
      </c>
      <c r="Z35" s="1189" t="str">
        <f>IF($V35="OUI",COUNTIF($V$10:V35,"OUI"),"")</f>
        <v/>
      </c>
      <c r="AA35" s="1188" t="str">
        <f>IF($V35="OUI",COUNTIFS($R$10:R35,$R35,$V$10:V35,"OUI"),"")</f>
        <v/>
      </c>
      <c r="AB35" s="1201" t="str">
        <f>IF(AND($V35="OUI",$AA35=1),$R35,"")</f>
        <v/>
      </c>
    </row>
    <row r="36" spans="1:28" ht="42" customHeight="1" x14ac:dyDescent="0.25">
      <c r="A36" s="1209"/>
      <c r="B36" s="1238" t="s">
        <v>2278</v>
      </c>
      <c r="C36" s="1248" t="s">
        <v>2298</v>
      </c>
      <c r="D36" s="1248" t="s">
        <v>1588</v>
      </c>
      <c r="E36" s="1248" t="s">
        <v>92</v>
      </c>
      <c r="F36" s="1247" t="str">
        <f>IF($C$4="","",IF(ISNUMBER(SEARCH(" "&amp;LOWER(C36)&amp;" "," "&amp;$C$5&amp;" ")),"OUI",""))</f>
        <v/>
      </c>
      <c r="G36" s="1244" t="s">
        <v>2299</v>
      </c>
      <c r="H36" s="1243" t="s">
        <v>2300</v>
      </c>
      <c r="I36" s="1259" t="s">
        <v>3724</v>
      </c>
      <c r="J36" s="1258"/>
      <c r="K36" s="1258"/>
      <c r="L36" s="1257"/>
      <c r="M36" s="1256"/>
      <c r="N36" s="1256" t="s">
        <v>3725</v>
      </c>
      <c r="O36" s="1256" t="s">
        <v>3726</v>
      </c>
      <c r="Q36" s="993"/>
      <c r="R36" s="1196" t="s">
        <v>3635</v>
      </c>
      <c r="S36" s="58" t="s">
        <v>3700</v>
      </c>
      <c r="T36" s="58" t="s">
        <v>2322</v>
      </c>
      <c r="U36" s="1195">
        <v>1</v>
      </c>
      <c r="V36" s="58" t="str">
        <f>IF($T36="","",IF(ISNUMBER(SEARCH(" "&amp;$T36&amp;" "," "&amp;$J$4&amp;" ")),"OUI",""))</f>
        <v/>
      </c>
      <c r="W36" s="1195">
        <f>IF($V36="OUI",$U36,0)</f>
        <v>0</v>
      </c>
      <c r="X36" s="58" t="s">
        <v>3727</v>
      </c>
      <c r="Y36" s="1194" t="s">
        <v>3728</v>
      </c>
      <c r="Z36" s="1189" t="str">
        <f>IF($V36="OUI",COUNTIF($V$10:V36,"OUI"),"")</f>
        <v/>
      </c>
      <c r="AA36" s="1188" t="str">
        <f>IF($V36="OUI",COUNTIFS($R$10:R36,$R36,$V$10:V36,"OUI"),"")</f>
        <v/>
      </c>
      <c r="AB36" s="1201" t="str">
        <f>IF(AND($V36="OUI",$AA36=1),$R36,"")</f>
        <v/>
      </c>
    </row>
    <row r="37" spans="1:28" ht="42" customHeight="1" x14ac:dyDescent="0.25">
      <c r="A37" s="1209"/>
      <c r="B37" s="1238" t="s">
        <v>2278</v>
      </c>
      <c r="C37" s="1248" t="s">
        <v>2036</v>
      </c>
      <c r="D37" s="1248" t="s">
        <v>1588</v>
      </c>
      <c r="E37" s="1248" t="s">
        <v>170</v>
      </c>
      <c r="F37" s="1247" t="str">
        <f>IF($C$4="","",IF(ISNUMBER(SEARCH(" "&amp;LOWER(C37)&amp;" "," "&amp;$C$5&amp;" ")),"OUI",""))</f>
        <v/>
      </c>
      <c r="G37" s="1244" t="s">
        <v>2301</v>
      </c>
      <c r="H37" s="1243" t="s">
        <v>2302</v>
      </c>
      <c r="I37" s="1255" t="s">
        <v>3729</v>
      </c>
      <c r="J37" s="1254"/>
      <c r="K37" s="1254"/>
      <c r="L37" s="1253"/>
      <c r="M37" s="1252"/>
      <c r="N37" s="1252" t="s">
        <v>3730</v>
      </c>
      <c r="O37" s="1252" t="s">
        <v>3731</v>
      </c>
      <c r="Q37" s="993"/>
      <c r="R37" s="1196" t="s">
        <v>3635</v>
      </c>
      <c r="S37" s="58" t="s">
        <v>3700</v>
      </c>
      <c r="T37" s="58" t="s">
        <v>3732</v>
      </c>
      <c r="U37" s="1195">
        <v>1</v>
      </c>
      <c r="V37" s="58" t="str">
        <f>IF($T37="","",IF(ISNUMBER(SEARCH(" "&amp;$T37&amp;" "," "&amp;$J$4&amp;" ")),"OUI",""))</f>
        <v/>
      </c>
      <c r="W37" s="1195">
        <f>IF($V37="OUI",$U37,0)</f>
        <v>0</v>
      </c>
      <c r="X37" s="58" t="s">
        <v>3733</v>
      </c>
      <c r="Y37" s="1194" t="s">
        <v>3734</v>
      </c>
      <c r="Z37" s="1189" t="str">
        <f>IF($V37="OUI",COUNTIF($V$10:V37,"OUI"),"")</f>
        <v/>
      </c>
      <c r="AA37" s="1188" t="str">
        <f>IF($V37="OUI",COUNTIFS($R$10:R37,$R37,$V$10:V37,"OUI"),"")</f>
        <v/>
      </c>
      <c r="AB37" s="1201" t="str">
        <f>IF(AND($V37="OUI",$AA37=1),$R37,"")</f>
        <v/>
      </c>
    </row>
    <row r="38" spans="1:28" ht="42" customHeight="1" x14ac:dyDescent="0.25">
      <c r="A38" s="1209"/>
      <c r="B38" s="1238" t="s">
        <v>2278</v>
      </c>
      <c r="C38" s="1248" t="s">
        <v>2303</v>
      </c>
      <c r="D38" s="1248" t="s">
        <v>1588</v>
      </c>
      <c r="E38" s="1248" t="s">
        <v>170</v>
      </c>
      <c r="F38" s="1247" t="str">
        <f>IF($C$4="","",IF(ISNUMBER(SEARCH(" "&amp;LOWER(C38)&amp;" "," "&amp;$C$5&amp;" ")),"OUI",""))</f>
        <v/>
      </c>
      <c r="G38" s="1244" t="s">
        <v>2304</v>
      </c>
      <c r="H38" s="1243" t="s">
        <v>2305</v>
      </c>
      <c r="I38" s="1255" t="s">
        <v>3735</v>
      </c>
      <c r="J38" s="1254"/>
      <c r="K38" s="1254"/>
      <c r="L38" s="1253"/>
      <c r="M38" s="1252"/>
      <c r="N38" s="1252" t="s">
        <v>3736</v>
      </c>
      <c r="O38" s="1252" t="s">
        <v>3737</v>
      </c>
      <c r="Q38" s="993"/>
      <c r="R38" s="1196" t="s">
        <v>3635</v>
      </c>
      <c r="S38" s="58" t="s">
        <v>3700</v>
      </c>
      <c r="T38" s="58" t="s">
        <v>3738</v>
      </c>
      <c r="U38" s="1195">
        <v>1</v>
      </c>
      <c r="V38" s="58" t="str">
        <f>IF($T38="","",IF(ISNUMBER(SEARCH(" "&amp;$T38&amp;" "," "&amp;$J$4&amp;" ")),"OUI",""))</f>
        <v/>
      </c>
      <c r="W38" s="1195">
        <f>IF($V38="OUI",$U38,0)</f>
        <v>0</v>
      </c>
      <c r="X38" s="58" t="s">
        <v>3739</v>
      </c>
      <c r="Y38" s="1194" t="s">
        <v>3740</v>
      </c>
      <c r="Z38" s="1189" t="str">
        <f>IF($V38="OUI",COUNTIF($V$10:V38,"OUI"),"")</f>
        <v/>
      </c>
      <c r="AA38" s="1188" t="str">
        <f>IF($V38="OUI",COUNTIFS($R$10:R38,$R38,$V$10:V38,"OUI"),"")</f>
        <v/>
      </c>
      <c r="AB38" s="1201" t="str">
        <f>IF(AND($V38="OUI",$AA38=1),$R38,"")</f>
        <v/>
      </c>
    </row>
    <row r="39" spans="1:28" ht="42" customHeight="1" x14ac:dyDescent="0.25">
      <c r="A39" s="1209"/>
      <c r="B39" s="1238" t="s">
        <v>2278</v>
      </c>
      <c r="C39" s="1248" t="s">
        <v>2306</v>
      </c>
      <c r="D39" s="1248" t="s">
        <v>1588</v>
      </c>
      <c r="E39" s="1248" t="s">
        <v>170</v>
      </c>
      <c r="F39" s="1247" t="str">
        <f>IF($C$4="","",IF(ISNUMBER(SEARCH(" "&amp;LOWER(C39)&amp;" "," "&amp;$C$5&amp;" ")),"OUI",""))</f>
        <v/>
      </c>
      <c r="G39" s="1244" t="s">
        <v>2307</v>
      </c>
      <c r="H39" s="1243" t="s">
        <v>2308</v>
      </c>
      <c r="I39" s="1255" t="s">
        <v>3741</v>
      </c>
      <c r="J39" s="1254"/>
      <c r="K39" s="1254"/>
      <c r="L39" s="1253"/>
      <c r="M39" s="1252"/>
      <c r="N39" s="1252" t="s">
        <v>3742</v>
      </c>
      <c r="O39" s="1252" t="s">
        <v>3743</v>
      </c>
      <c r="Q39" s="993"/>
      <c r="R39" s="1196" t="s">
        <v>3635</v>
      </c>
      <c r="S39" s="58" t="s">
        <v>3700</v>
      </c>
      <c r="T39" s="58" t="s">
        <v>1615</v>
      </c>
      <c r="U39" s="1195">
        <v>1</v>
      </c>
      <c r="V39" s="58" t="str">
        <f>IF($T39="","",IF(ISNUMBER(SEARCH(" "&amp;$T39&amp;" "," "&amp;$J$4&amp;" ")),"OUI",""))</f>
        <v/>
      </c>
      <c r="W39" s="1195">
        <f>IF($V39="OUI",$U39,0)</f>
        <v>0</v>
      </c>
      <c r="X39" s="58" t="s">
        <v>3744</v>
      </c>
      <c r="Y39" s="1194" t="s">
        <v>3745</v>
      </c>
      <c r="Z39" s="1189" t="str">
        <f>IF($V39="OUI",COUNTIF($V$10:V39,"OUI"),"")</f>
        <v/>
      </c>
      <c r="AA39" s="1188" t="str">
        <f>IF($V39="OUI",COUNTIFS($R$10:R39,$R39,$V$10:V39,"OUI"),"")</f>
        <v/>
      </c>
      <c r="AB39" s="1201" t="str">
        <f>IF(AND($V39="OUI",$AA39=1),$R39,"")</f>
        <v/>
      </c>
    </row>
    <row r="40" spans="1:28" ht="42" customHeight="1" x14ac:dyDescent="0.25">
      <c r="A40" s="1209"/>
      <c r="B40" s="1238" t="s">
        <v>2278</v>
      </c>
      <c r="C40" s="1248" t="s">
        <v>2032</v>
      </c>
      <c r="D40" s="1248" t="s">
        <v>1588</v>
      </c>
      <c r="E40" s="1248" t="s">
        <v>170</v>
      </c>
      <c r="F40" s="1247" t="str">
        <f>IF($C$4="","",IF(ISNUMBER(SEARCH(" "&amp;LOWER(C40)&amp;" "," "&amp;$C$5&amp;" ")),"OUI",""))</f>
        <v/>
      </c>
      <c r="G40" s="1244" t="s">
        <v>2309</v>
      </c>
      <c r="H40" s="1243" t="s">
        <v>2310</v>
      </c>
      <c r="I40" s="1255" t="s">
        <v>3746</v>
      </c>
      <c r="J40" s="1254"/>
      <c r="K40" s="1254"/>
      <c r="L40" s="1253"/>
      <c r="M40" s="1252"/>
      <c r="N40" s="1252" t="s">
        <v>3747</v>
      </c>
      <c r="O40" s="1252" t="s">
        <v>3748</v>
      </c>
      <c r="Q40" s="993"/>
      <c r="R40" s="1196" t="s">
        <v>275</v>
      </c>
      <c r="S40" s="58" t="s">
        <v>3631</v>
      </c>
      <c r="T40" s="58" t="s">
        <v>2026</v>
      </c>
      <c r="U40" s="1195">
        <v>3</v>
      </c>
      <c r="V40" s="58" t="str">
        <f>IF($T40="","",IF(ISNUMBER(SEARCH(" "&amp;$T40&amp;" "," "&amp;$J$4&amp;" ")),"OUI",""))</f>
        <v>OUI</v>
      </c>
      <c r="W40" s="1195">
        <f>IF($V40="OUI",$U40,0)</f>
        <v>3</v>
      </c>
      <c r="X40" s="58" t="s">
        <v>3749</v>
      </c>
      <c r="Y40" s="1194" t="s">
        <v>3750</v>
      </c>
      <c r="Z40" s="1189">
        <f>IF($V40="OUI",COUNTIF($V$10:V40,"OUI"),"")</f>
        <v>2</v>
      </c>
      <c r="AA40" s="1188">
        <f>IF($V40="OUI",COUNTIFS($R$10:R40,$R40,$V$10:V40,"OUI"),"")</f>
        <v>1</v>
      </c>
      <c r="AB40" s="1201" t="str">
        <f>IF(AND($V40="OUI",$AA40=1),$R40,"")</f>
        <v>GASPILLAGE</v>
      </c>
    </row>
    <row r="41" spans="1:28" ht="42" customHeight="1" x14ac:dyDescent="0.25">
      <c r="A41" s="1209"/>
      <c r="B41" s="1238" t="s">
        <v>2278</v>
      </c>
      <c r="C41" s="1248" t="s">
        <v>2031</v>
      </c>
      <c r="D41" s="1248" t="s">
        <v>1588</v>
      </c>
      <c r="E41" s="1248" t="s">
        <v>170</v>
      </c>
      <c r="F41" s="1247" t="str">
        <f>IF($C$4="","",IF(ISNUMBER(SEARCH(" "&amp;LOWER(C41)&amp;" "," "&amp;$C$5&amp;" ")),"OUI",""))</f>
        <v/>
      </c>
      <c r="G41" s="1244" t="s">
        <v>2311</v>
      </c>
      <c r="H41" s="1243" t="s">
        <v>2312</v>
      </c>
      <c r="I41" s="1255" t="s">
        <v>3751</v>
      </c>
      <c r="J41" s="1254"/>
      <c r="K41" s="1254"/>
      <c r="L41" s="1253"/>
      <c r="M41" s="1252"/>
      <c r="N41" s="1252" t="s">
        <v>3752</v>
      </c>
      <c r="O41" s="1252" t="s">
        <v>3753</v>
      </c>
      <c r="Q41" s="993"/>
      <c r="R41" s="1196" t="s">
        <v>275</v>
      </c>
      <c r="S41" s="58" t="s">
        <v>3631</v>
      </c>
      <c r="T41" s="58" t="s">
        <v>3754</v>
      </c>
      <c r="U41" s="1195">
        <v>3</v>
      </c>
      <c r="V41" s="58" t="str">
        <f>IF($T41="","",IF(ISNUMBER(SEARCH(" "&amp;$T41&amp;" "," "&amp;$J$4&amp;" ")),"OUI",""))</f>
        <v/>
      </c>
      <c r="W41" s="1195">
        <f>IF($V41="OUI",$U41,0)</f>
        <v>0</v>
      </c>
      <c r="X41" s="58" t="s">
        <v>3755</v>
      </c>
      <c r="Y41" s="1194" t="s">
        <v>3756</v>
      </c>
      <c r="Z41" s="1189" t="str">
        <f>IF($V41="OUI",COUNTIF($V$10:V41,"OUI"),"")</f>
        <v/>
      </c>
      <c r="AA41" s="1188" t="str">
        <f>IF($V41="OUI",COUNTIFS($R$10:R41,$R41,$V$10:V41,"OUI"),"")</f>
        <v/>
      </c>
      <c r="AB41" s="1201" t="str">
        <f>IF(AND($V41="OUI",$AA41=1),$R41,"")</f>
        <v/>
      </c>
    </row>
    <row r="42" spans="1:28" ht="42" customHeight="1" x14ac:dyDescent="0.25">
      <c r="A42" s="1209"/>
      <c r="B42" s="1238" t="s">
        <v>2278</v>
      </c>
      <c r="C42" s="1248" t="s">
        <v>2313</v>
      </c>
      <c r="D42" s="1248" t="s">
        <v>1588</v>
      </c>
      <c r="E42" s="1248" t="s">
        <v>170</v>
      </c>
      <c r="F42" s="1247" t="str">
        <f>IF($C$4="","",IF(ISNUMBER(SEARCH(" "&amp;LOWER(C42)&amp;" "," "&amp;$C$5&amp;" ")),"OUI",""))</f>
        <v/>
      </c>
      <c r="G42" s="1244" t="s">
        <v>2314</v>
      </c>
      <c r="H42" s="1243" t="s">
        <v>2315</v>
      </c>
      <c r="I42" s="1255" t="s">
        <v>3757</v>
      </c>
      <c r="J42" s="1254"/>
      <c r="K42" s="1254"/>
      <c r="L42" s="1253"/>
      <c r="M42" s="1252"/>
      <c r="N42" s="1252" t="s">
        <v>3758</v>
      </c>
      <c r="O42" s="1252" t="s">
        <v>3759</v>
      </c>
      <c r="Q42" s="993"/>
      <c r="R42" s="1196" t="s">
        <v>275</v>
      </c>
      <c r="S42" s="58" t="s">
        <v>3631</v>
      </c>
      <c r="T42" s="58" t="s">
        <v>3760</v>
      </c>
      <c r="U42" s="1195">
        <v>3</v>
      </c>
      <c r="V42" s="58" t="str">
        <f>IF($T42="","",IF(ISNUMBER(SEARCH(" "&amp;$T42&amp;" "," "&amp;$J$4&amp;" ")),"OUI",""))</f>
        <v/>
      </c>
      <c r="W42" s="1195">
        <f>IF($V42="OUI",$U42,0)</f>
        <v>0</v>
      </c>
      <c r="X42" s="58" t="s">
        <v>3755</v>
      </c>
      <c r="Y42" s="1194" t="s">
        <v>3756</v>
      </c>
      <c r="Z42" s="1189" t="str">
        <f>IF($V42="OUI",COUNTIF($V$10:V42,"OUI"),"")</f>
        <v/>
      </c>
      <c r="AA42" s="1188" t="str">
        <f>IF($V42="OUI",COUNTIFS($R$10:R42,$R42,$V$10:V42,"OUI"),"")</f>
        <v/>
      </c>
      <c r="AB42" s="1201" t="str">
        <f>IF(AND($V42="OUI",$AA42=1),$R42,"")</f>
        <v/>
      </c>
    </row>
    <row r="43" spans="1:28" ht="42" customHeight="1" x14ac:dyDescent="0.25">
      <c r="A43" s="1209"/>
      <c r="B43" s="1238" t="s">
        <v>2278</v>
      </c>
      <c r="C43" s="1248" t="s">
        <v>2316</v>
      </c>
      <c r="D43" s="1248" t="s">
        <v>1588</v>
      </c>
      <c r="E43" s="1248" t="s">
        <v>170</v>
      </c>
      <c r="F43" s="1247" t="str">
        <f>IF($C$4="","",IF(ISNUMBER(SEARCH(" "&amp;LOWER(C43)&amp;" "," "&amp;$C$5&amp;" ")),"OUI",""))</f>
        <v/>
      </c>
      <c r="G43" s="1244" t="s">
        <v>2317</v>
      </c>
      <c r="H43" s="1243" t="s">
        <v>2318</v>
      </c>
      <c r="I43" s="1255" t="s">
        <v>3761</v>
      </c>
      <c r="J43" s="1254"/>
      <c r="K43" s="1254"/>
      <c r="L43" s="1253"/>
      <c r="M43" s="1252"/>
      <c r="N43" s="1252" t="s">
        <v>3762</v>
      </c>
      <c r="O43" s="1252" t="s">
        <v>3763</v>
      </c>
      <c r="Q43" s="993"/>
      <c r="R43" s="1196" t="s">
        <v>275</v>
      </c>
      <c r="S43" s="58" t="s">
        <v>3631</v>
      </c>
      <c r="T43" s="58" t="s">
        <v>3764</v>
      </c>
      <c r="U43" s="1195">
        <v>3</v>
      </c>
      <c r="V43" s="58" t="str">
        <f>IF($T43="","",IF(ISNUMBER(SEARCH(" "&amp;$T43&amp;" "," "&amp;$J$4&amp;" ")),"OUI",""))</f>
        <v/>
      </c>
      <c r="W43" s="1195">
        <f>IF($V43="OUI",$U43,0)</f>
        <v>0</v>
      </c>
      <c r="X43" s="58" t="s">
        <v>3765</v>
      </c>
      <c r="Y43" s="1194" t="s">
        <v>3766</v>
      </c>
      <c r="Z43" s="1189" t="str">
        <f>IF($V43="OUI",COUNTIF($V$10:V43,"OUI"),"")</f>
        <v/>
      </c>
      <c r="AA43" s="1188" t="str">
        <f>IF($V43="OUI",COUNTIFS($R$10:R43,$R43,$V$10:V43,"OUI"),"")</f>
        <v/>
      </c>
      <c r="AB43" s="1201" t="str">
        <f>IF(AND($V43="OUI",$AA43=1),$R43,"")</f>
        <v/>
      </c>
    </row>
    <row r="44" spans="1:28" ht="42" customHeight="1" x14ac:dyDescent="0.25">
      <c r="A44" s="1209"/>
      <c r="B44" s="1238" t="s">
        <v>2278</v>
      </c>
      <c r="C44" s="1248" t="s">
        <v>2319</v>
      </c>
      <c r="D44" s="1248" t="s">
        <v>1977</v>
      </c>
      <c r="E44" s="1248" t="s">
        <v>92</v>
      </c>
      <c r="F44" s="1247" t="str">
        <f>IF($C$4="","",IF(ISNUMBER(SEARCH(" "&amp;LOWER(C44)&amp;" "," "&amp;$C$5&amp;" ")),"OUI",""))</f>
        <v/>
      </c>
      <c r="G44" s="1244" t="s">
        <v>2320</v>
      </c>
      <c r="H44" s="1243" t="s">
        <v>2321</v>
      </c>
      <c r="I44" s="1255" t="s">
        <v>3767</v>
      </c>
      <c r="J44" s="1254"/>
      <c r="K44" s="1254"/>
      <c r="L44" s="1253"/>
      <c r="M44" s="1252"/>
      <c r="N44" s="1252" t="s">
        <v>3768</v>
      </c>
      <c r="O44" s="1252" t="s">
        <v>3769</v>
      </c>
      <c r="Q44" s="993"/>
      <c r="R44" s="1196" t="s">
        <v>275</v>
      </c>
      <c r="S44" s="58" t="s">
        <v>3631</v>
      </c>
      <c r="T44" s="58" t="s">
        <v>3770</v>
      </c>
      <c r="U44" s="1195">
        <v>3</v>
      </c>
      <c r="V44" s="58" t="str">
        <f>IF($T44="","",IF(ISNUMBER(SEARCH(" "&amp;$T44&amp;" "," "&amp;$J$4&amp;" ")),"OUI",""))</f>
        <v/>
      </c>
      <c r="W44" s="1195">
        <f>IF($V44="OUI",$U44,0)</f>
        <v>0</v>
      </c>
      <c r="X44" s="58" t="s">
        <v>3765</v>
      </c>
      <c r="Y44" s="1194" t="s">
        <v>3766</v>
      </c>
      <c r="Z44" s="1189" t="str">
        <f>IF($V44="OUI",COUNTIF($V$10:V44,"OUI"),"")</f>
        <v/>
      </c>
      <c r="AA44" s="1188" t="str">
        <f>IF($V44="OUI",COUNTIFS($R$10:R44,$R44,$V$10:V44,"OUI"),"")</f>
        <v/>
      </c>
      <c r="AB44" s="1201" t="str">
        <f>IF(AND($V44="OUI",$AA44=1),$R44,"")</f>
        <v/>
      </c>
    </row>
    <row r="45" spans="1:28" ht="42" customHeight="1" x14ac:dyDescent="0.25">
      <c r="A45" s="1209"/>
      <c r="B45" s="1238" t="s">
        <v>2278</v>
      </c>
      <c r="C45" s="1248" t="s">
        <v>2322</v>
      </c>
      <c r="D45" s="1248" t="s">
        <v>1977</v>
      </c>
      <c r="E45" s="1248" t="s">
        <v>92</v>
      </c>
      <c r="F45" s="1247" t="str">
        <f>IF($C$4="","",IF(ISNUMBER(SEARCH(" "&amp;LOWER(C45)&amp;" "," "&amp;$C$5&amp;" ")),"OUI",""))</f>
        <v/>
      </c>
      <c r="G45" s="1244" t="s">
        <v>2323</v>
      </c>
      <c r="H45" s="1243" t="s">
        <v>2324</v>
      </c>
      <c r="I45" s="1255" t="s">
        <v>3771</v>
      </c>
      <c r="J45" s="1254"/>
      <c r="K45" s="1254"/>
      <c r="L45" s="1253"/>
      <c r="M45" s="1252"/>
      <c r="N45" s="1252" t="s">
        <v>3772</v>
      </c>
      <c r="O45" s="1252" t="s">
        <v>3773</v>
      </c>
      <c r="Q45" s="993"/>
      <c r="R45" s="1196" t="s">
        <v>275</v>
      </c>
      <c r="S45" s="58" t="s">
        <v>3631</v>
      </c>
      <c r="T45" s="58" t="s">
        <v>3774</v>
      </c>
      <c r="U45" s="1195">
        <v>3</v>
      </c>
      <c r="V45" s="58" t="str">
        <f>IF($T45="","",IF(ISNUMBER(SEARCH(" "&amp;$T45&amp;" "," "&amp;$J$4&amp;" ")),"OUI",""))</f>
        <v/>
      </c>
      <c r="W45" s="1195">
        <f>IF($V45="OUI",$U45,0)</f>
        <v>0</v>
      </c>
      <c r="X45" s="58" t="s">
        <v>3775</v>
      </c>
      <c r="Y45" s="1194" t="s">
        <v>3776</v>
      </c>
      <c r="Z45" s="1189" t="str">
        <f>IF($V45="OUI",COUNTIF($V$10:V45,"OUI"),"")</f>
        <v/>
      </c>
      <c r="AA45" s="1188" t="str">
        <f>IF($V45="OUI",COUNTIFS($R$10:R45,$R45,$V$10:V45,"OUI"),"")</f>
        <v/>
      </c>
      <c r="AB45" s="1201" t="str">
        <f>IF(AND($V45="OUI",$AA45=1),$R45,"")</f>
        <v/>
      </c>
    </row>
    <row r="46" spans="1:28" ht="42" customHeight="1" x14ac:dyDescent="0.25">
      <c r="A46" s="1209"/>
      <c r="B46" s="1238" t="s">
        <v>2278</v>
      </c>
      <c r="C46" s="1248" t="s">
        <v>2037</v>
      </c>
      <c r="D46" s="1248" t="s">
        <v>1977</v>
      </c>
      <c r="E46" s="1248" t="s">
        <v>92</v>
      </c>
      <c r="F46" s="1247" t="str">
        <f>IF($C$4="","",IF(ISNUMBER(SEARCH(" "&amp;LOWER(C46)&amp;" "," "&amp;$C$5&amp;" ")),"OUI",""))</f>
        <v>OUI</v>
      </c>
      <c r="G46" s="1244" t="s">
        <v>2325</v>
      </c>
      <c r="H46" s="1243" t="s">
        <v>2326</v>
      </c>
      <c r="I46" s="1255" t="s">
        <v>3777</v>
      </c>
      <c r="J46" s="1254"/>
      <c r="K46" s="1254"/>
      <c r="L46" s="1253"/>
      <c r="M46" s="1252"/>
      <c r="N46" s="1252" t="s">
        <v>3778</v>
      </c>
      <c r="O46" s="1252" t="s">
        <v>3779</v>
      </c>
      <c r="Q46" s="993"/>
      <c r="R46" s="1196" t="s">
        <v>275</v>
      </c>
      <c r="S46" s="58" t="s">
        <v>3631</v>
      </c>
      <c r="T46" s="58" t="s">
        <v>3780</v>
      </c>
      <c r="U46" s="1195">
        <v>2</v>
      </c>
      <c r="V46" s="58" t="str">
        <f>IF($T46="","",IF(ISNUMBER(SEARCH(" "&amp;$T46&amp;" "," "&amp;$J$4&amp;" ")),"OUI",""))</f>
        <v/>
      </c>
      <c r="W46" s="1195">
        <f>IF($V46="OUI",$U46,0)</f>
        <v>0</v>
      </c>
      <c r="X46" s="58" t="s">
        <v>3781</v>
      </c>
      <c r="Y46" s="1194" t="s">
        <v>3782</v>
      </c>
      <c r="Z46" s="1189" t="str">
        <f>IF($V46="OUI",COUNTIF($V$10:V46,"OUI"),"")</f>
        <v/>
      </c>
      <c r="AA46" s="1188" t="str">
        <f>IF($V46="OUI",COUNTIFS($R$10:R46,$R46,$V$10:V46,"OUI"),"")</f>
        <v/>
      </c>
      <c r="AB46" s="1201" t="str">
        <f>IF(AND($V46="OUI",$AA46=1),$R46,"")</f>
        <v/>
      </c>
    </row>
    <row r="47" spans="1:28" ht="42" customHeight="1" x14ac:dyDescent="0.25">
      <c r="A47" s="1209"/>
      <c r="B47" s="1238" t="s">
        <v>572</v>
      </c>
      <c r="C47" s="1248" t="s">
        <v>2209</v>
      </c>
      <c r="D47" s="1248" t="s">
        <v>2057</v>
      </c>
      <c r="E47" s="1248" t="s">
        <v>92</v>
      </c>
      <c r="F47" s="1247" t="str">
        <f>IF($C$4="","",IF(ISNUMBER(SEARCH(" "&amp;LOWER(C47)&amp;" "," "&amp;$C$5&amp;" ")),"OUI",""))</f>
        <v/>
      </c>
      <c r="G47" s="1244" t="s">
        <v>2327</v>
      </c>
      <c r="H47" s="1243" t="s">
        <v>1607</v>
      </c>
      <c r="I47" s="1251"/>
      <c r="J47" s="1250"/>
      <c r="K47" s="1250"/>
      <c r="L47" s="1250"/>
      <c r="M47" s="1250"/>
      <c r="N47" s="1250"/>
      <c r="O47" s="1249"/>
      <c r="Q47" s="993"/>
      <c r="R47" s="1196" t="s">
        <v>275</v>
      </c>
      <c r="S47" s="58" t="s">
        <v>3631</v>
      </c>
      <c r="T47" s="58" t="s">
        <v>3783</v>
      </c>
      <c r="U47" s="1195">
        <v>2</v>
      </c>
      <c r="V47" s="58" t="str">
        <f>IF($T47="","",IF(ISNUMBER(SEARCH(" "&amp;$T47&amp;" "," "&amp;$J$4&amp;" ")),"OUI",""))</f>
        <v/>
      </c>
      <c r="W47" s="1195">
        <f>IF($V47="OUI",$U47,0)</f>
        <v>0</v>
      </c>
      <c r="X47" s="58" t="s">
        <v>3784</v>
      </c>
      <c r="Y47" s="1194" t="s">
        <v>3785</v>
      </c>
      <c r="Z47" s="1189" t="str">
        <f>IF($V47="OUI",COUNTIF($V$10:V47,"OUI"),"")</f>
        <v/>
      </c>
      <c r="AA47" s="1188" t="str">
        <f>IF($V47="OUI",COUNTIFS($R$10:R47,$R47,$V$10:V47,"OUI"),"")</f>
        <v/>
      </c>
      <c r="AB47" s="1201" t="str">
        <f>IF(AND($V47="OUI",$AA47=1),$R47,"")</f>
        <v/>
      </c>
    </row>
    <row r="48" spans="1:28" ht="42" customHeight="1" x14ac:dyDescent="0.25">
      <c r="A48" s="1209"/>
      <c r="B48" s="1238" t="s">
        <v>572</v>
      </c>
      <c r="C48" s="1248" t="s">
        <v>2328</v>
      </c>
      <c r="D48" s="1248" t="s">
        <v>2057</v>
      </c>
      <c r="E48" s="1248" t="s">
        <v>92</v>
      </c>
      <c r="F48" s="1247" t="str">
        <f>IF($C$4="","",IF(ISNUMBER(SEARCH(" "&amp;LOWER(C48)&amp;" "," "&amp;$C$5&amp;" ")),"OUI",""))</f>
        <v/>
      </c>
      <c r="G48" s="1244" t="s">
        <v>2329</v>
      </c>
      <c r="H48" s="1243" t="s">
        <v>2330</v>
      </c>
      <c r="I48" s="1204"/>
      <c r="J48" s="1203"/>
      <c r="K48" s="1203"/>
      <c r="L48" s="1203"/>
      <c r="M48" s="1203"/>
      <c r="N48" s="1203"/>
      <c r="O48" s="1202"/>
      <c r="Q48" s="993"/>
      <c r="R48" s="1196" t="s">
        <v>275</v>
      </c>
      <c r="S48" s="58" t="s">
        <v>3631</v>
      </c>
      <c r="T48" s="58" t="s">
        <v>3786</v>
      </c>
      <c r="U48" s="1195">
        <v>3</v>
      </c>
      <c r="V48" s="58" t="str">
        <f>IF($T48="","",IF(ISNUMBER(SEARCH(" "&amp;$T48&amp;" "," "&amp;$J$4&amp;" ")),"OUI",""))</f>
        <v/>
      </c>
      <c r="W48" s="1195">
        <f>IF($V48="OUI",$U48,0)</f>
        <v>0</v>
      </c>
      <c r="X48" s="58" t="s">
        <v>3787</v>
      </c>
      <c r="Y48" s="1194" t="s">
        <v>3788</v>
      </c>
      <c r="Z48" s="1189" t="str">
        <f>IF($V48="OUI",COUNTIF($V$10:V48,"OUI"),"")</f>
        <v/>
      </c>
      <c r="AA48" s="1188" t="str">
        <f>IF($V48="OUI",COUNTIFS($R$10:R48,$R48,$V$10:V48,"OUI"),"")</f>
        <v/>
      </c>
      <c r="AB48" s="1201" t="str">
        <f>IF(AND($V48="OUI",$AA48=1),$R48,"")</f>
        <v/>
      </c>
    </row>
    <row r="49" spans="1:28" ht="42" customHeight="1" x14ac:dyDescent="0.25">
      <c r="A49" s="1209"/>
      <c r="B49" s="1238" t="s">
        <v>572</v>
      </c>
      <c r="C49" s="1248" t="s">
        <v>2331</v>
      </c>
      <c r="D49" s="1248" t="s">
        <v>2057</v>
      </c>
      <c r="E49" s="1248" t="s">
        <v>92</v>
      </c>
      <c r="F49" s="1247" t="str">
        <f>IF($C$4="","",IF(ISNUMBER(SEARCH(" "&amp;LOWER(C49)&amp;" "," "&amp;$C$5&amp;" ")),"OUI",""))</f>
        <v/>
      </c>
      <c r="G49" s="1244" t="s">
        <v>2332</v>
      </c>
      <c r="H49" s="1243" t="s">
        <v>2333</v>
      </c>
      <c r="I49" s="1204"/>
      <c r="J49" s="1203"/>
      <c r="K49" s="1203"/>
      <c r="L49" s="1203"/>
      <c r="M49" s="1203"/>
      <c r="N49" s="1203"/>
      <c r="O49" s="1202"/>
      <c r="Q49" s="993"/>
      <c r="R49" s="1196" t="s">
        <v>328</v>
      </c>
      <c r="S49" s="58" t="s">
        <v>3631</v>
      </c>
      <c r="T49" s="58" t="s">
        <v>3789</v>
      </c>
      <c r="U49" s="1195">
        <v>3</v>
      </c>
      <c r="V49" s="58" t="str">
        <f>IF($T49="","",IF(ISNUMBER(SEARCH(" "&amp;$T49&amp;" "," "&amp;$J$4&amp;" ")),"OUI",""))</f>
        <v/>
      </c>
      <c r="W49" s="1195">
        <f>IF($V49="OUI",$U49,0)</f>
        <v>0</v>
      </c>
      <c r="X49" s="58" t="s">
        <v>3790</v>
      </c>
      <c r="Y49" s="1194" t="s">
        <v>3791</v>
      </c>
      <c r="Z49" s="1189" t="str">
        <f>IF($V49="OUI",COUNTIF($V$10:V49,"OUI"),"")</f>
        <v/>
      </c>
      <c r="AA49" s="1188" t="str">
        <f>IF($V49="OUI",COUNTIFS($R$10:R49,$R49,$V$10:V49,"OUI"),"")</f>
        <v/>
      </c>
      <c r="AB49" s="1201" t="str">
        <f>IF(AND($V49="OUI",$AA49=1),$R49,"")</f>
        <v/>
      </c>
    </row>
    <row r="50" spans="1:28" ht="42" customHeight="1" x14ac:dyDescent="0.25">
      <c r="A50" s="1209"/>
      <c r="B50" s="1238" t="s">
        <v>572</v>
      </c>
      <c r="C50" s="1248" t="s">
        <v>2334</v>
      </c>
      <c r="D50" s="1248" t="s">
        <v>2057</v>
      </c>
      <c r="E50" s="1248" t="s">
        <v>92</v>
      </c>
      <c r="F50" s="1247" t="str">
        <f>IF($C$4="","",IF(ISNUMBER(SEARCH(" "&amp;LOWER(C50)&amp;" "," "&amp;$C$5&amp;" ")),"OUI",""))</f>
        <v/>
      </c>
      <c r="G50" s="1244" t="s">
        <v>2335</v>
      </c>
      <c r="H50" s="1243" t="s">
        <v>2336</v>
      </c>
      <c r="I50" s="1204"/>
      <c r="J50" s="1203"/>
      <c r="K50" s="1203"/>
      <c r="L50" s="1203"/>
      <c r="M50" s="1203"/>
      <c r="N50" s="1203"/>
      <c r="O50" s="1202"/>
      <c r="Q50" s="993"/>
      <c r="R50" s="1196" t="s">
        <v>328</v>
      </c>
      <c r="S50" s="58" t="s">
        <v>3631</v>
      </c>
      <c r="T50" s="58" t="s">
        <v>3792</v>
      </c>
      <c r="U50" s="1195">
        <v>3</v>
      </c>
      <c r="V50" s="58" t="str">
        <f>IF($T50="","",IF(ISNUMBER(SEARCH(" "&amp;$T50&amp;" "," "&amp;$J$4&amp;" ")),"OUI",""))</f>
        <v/>
      </c>
      <c r="W50" s="1195">
        <f>IF($V50="OUI",$U50,0)</f>
        <v>0</v>
      </c>
      <c r="X50" s="58" t="s">
        <v>3793</v>
      </c>
      <c r="Y50" s="1194" t="s">
        <v>3794</v>
      </c>
      <c r="Z50" s="1189" t="str">
        <f>IF($V50="OUI",COUNTIF($V$10:V50,"OUI"),"")</f>
        <v/>
      </c>
      <c r="AA50" s="1188" t="str">
        <f>IF($V50="OUI",COUNTIFS($R$10:R50,$R50,$V$10:V50,"OUI"),"")</f>
        <v/>
      </c>
      <c r="AB50" s="1201" t="str">
        <f>IF(AND($V50="OUI",$AA50=1),$R50,"")</f>
        <v/>
      </c>
    </row>
    <row r="51" spans="1:28" ht="42" customHeight="1" x14ac:dyDescent="0.25">
      <c r="A51" s="1209"/>
      <c r="B51" s="1238" t="s">
        <v>572</v>
      </c>
      <c r="C51" s="1248" t="s">
        <v>2337</v>
      </c>
      <c r="D51" s="1248" t="s">
        <v>2057</v>
      </c>
      <c r="E51" s="1248" t="s">
        <v>92</v>
      </c>
      <c r="F51" s="1247" t="str">
        <f>IF($C$4="","",IF(ISNUMBER(SEARCH(" "&amp;LOWER(C51)&amp;" "," "&amp;$C$5&amp;" ")),"OUI",""))</f>
        <v>OUI</v>
      </c>
      <c r="G51" s="1244" t="s">
        <v>2338</v>
      </c>
      <c r="H51" s="1243" t="s">
        <v>2339</v>
      </c>
      <c r="I51" s="1204"/>
      <c r="J51" s="1203"/>
      <c r="K51" s="1203"/>
      <c r="L51" s="1203"/>
      <c r="M51" s="1203"/>
      <c r="N51" s="1203"/>
      <c r="O51" s="1202"/>
      <c r="Q51" s="993"/>
      <c r="R51" s="1196" t="s">
        <v>328</v>
      </c>
      <c r="S51" s="58" t="s">
        <v>3631</v>
      </c>
      <c r="T51" s="58" t="s">
        <v>3795</v>
      </c>
      <c r="U51" s="1195">
        <v>3</v>
      </c>
      <c r="V51" s="58" t="str">
        <f>IF($T51="","",IF(ISNUMBER(SEARCH(" "&amp;$T51&amp;" "," "&amp;$J$4&amp;" ")),"OUI",""))</f>
        <v/>
      </c>
      <c r="W51" s="1195">
        <f>IF($V51="OUI",$U51,0)</f>
        <v>0</v>
      </c>
      <c r="X51" s="58" t="s">
        <v>3796</v>
      </c>
      <c r="Y51" s="1194" t="s">
        <v>3797</v>
      </c>
      <c r="Z51" s="1189" t="str">
        <f>IF($V51="OUI",COUNTIF($V$10:V51,"OUI"),"")</f>
        <v/>
      </c>
      <c r="AA51" s="1188" t="str">
        <f>IF($V51="OUI",COUNTIFS($R$10:R51,$R51,$V$10:V51,"OUI"),"")</f>
        <v/>
      </c>
      <c r="AB51" s="1201" t="str">
        <f>IF(AND($V51="OUI",$AA51=1),$R51,"")</f>
        <v/>
      </c>
    </row>
    <row r="52" spans="1:28" ht="42" customHeight="1" x14ac:dyDescent="0.25">
      <c r="A52" s="1209"/>
      <c r="B52" s="1238" t="s">
        <v>572</v>
      </c>
      <c r="C52" s="1248" t="s">
        <v>2340</v>
      </c>
      <c r="D52" s="1248" t="s">
        <v>2057</v>
      </c>
      <c r="E52" s="1248" t="s">
        <v>92</v>
      </c>
      <c r="F52" s="1247" t="str">
        <f>IF($C$4="","",IF(ISNUMBER(SEARCH(" "&amp;LOWER(C52)&amp;" "," "&amp;$C$5&amp;" ")),"OUI",""))</f>
        <v/>
      </c>
      <c r="G52" s="1244" t="s">
        <v>2341</v>
      </c>
      <c r="H52" s="1243" t="s">
        <v>2342</v>
      </c>
      <c r="I52" s="1204"/>
      <c r="J52" s="1203"/>
      <c r="K52" s="1203"/>
      <c r="L52" s="1203"/>
      <c r="M52" s="1203"/>
      <c r="N52" s="1203"/>
      <c r="O52" s="1202"/>
      <c r="Q52" s="993"/>
      <c r="R52" s="1196" t="s">
        <v>328</v>
      </c>
      <c r="S52" s="58" t="s">
        <v>3631</v>
      </c>
      <c r="T52" s="58" t="s">
        <v>3798</v>
      </c>
      <c r="U52" s="1195">
        <v>2</v>
      </c>
      <c r="V52" s="58" t="str">
        <f>IF($T52="","",IF(ISNUMBER(SEARCH(" "&amp;$T52&amp;" "," "&amp;$J$4&amp;" ")),"OUI",""))</f>
        <v/>
      </c>
      <c r="W52" s="1195">
        <f>IF($V52="OUI",$U52,0)</f>
        <v>0</v>
      </c>
      <c r="X52" s="58" t="s">
        <v>3799</v>
      </c>
      <c r="Y52" s="1194" t="s">
        <v>3800</v>
      </c>
      <c r="Z52" s="1189" t="str">
        <f>IF($V52="OUI",COUNTIF($V$10:V52,"OUI"),"")</f>
        <v/>
      </c>
      <c r="AA52" s="1188" t="str">
        <f>IF($V52="OUI",COUNTIFS($R$10:R52,$R52,$V$10:V52,"OUI"),"")</f>
        <v/>
      </c>
      <c r="AB52" s="1201" t="str">
        <f>IF(AND($V52="OUI",$AA52=1),$R52,"")</f>
        <v/>
      </c>
    </row>
    <row r="53" spans="1:28" ht="42" customHeight="1" x14ac:dyDescent="0.25">
      <c r="A53" s="1209"/>
      <c r="B53" s="1238" t="s">
        <v>572</v>
      </c>
      <c r="C53" s="1248" t="s">
        <v>2343</v>
      </c>
      <c r="D53" s="1248" t="s">
        <v>2057</v>
      </c>
      <c r="E53" s="1248" t="s">
        <v>92</v>
      </c>
      <c r="F53" s="1247" t="str">
        <f>IF($C$4="","",IF(ISNUMBER(SEARCH(" "&amp;LOWER(C53)&amp;" "," "&amp;$C$5&amp;" ")),"OUI",""))</f>
        <v/>
      </c>
      <c r="G53" s="1244" t="s">
        <v>2344</v>
      </c>
      <c r="H53" s="1243" t="s">
        <v>2345</v>
      </c>
      <c r="I53" s="1204"/>
      <c r="J53" s="1203"/>
      <c r="K53" s="1203"/>
      <c r="L53" s="1203"/>
      <c r="M53" s="1203"/>
      <c r="N53" s="1203"/>
      <c r="O53" s="1202"/>
      <c r="Q53" s="993"/>
      <c r="R53" s="1196" t="s">
        <v>328</v>
      </c>
      <c r="S53" s="58" t="s">
        <v>3631</v>
      </c>
      <c r="T53" s="58" t="s">
        <v>3801</v>
      </c>
      <c r="U53" s="1195">
        <v>2</v>
      </c>
      <c r="V53" s="58" t="str">
        <f>IF($T53="","",IF(ISNUMBER(SEARCH(" "&amp;$T53&amp;" "," "&amp;$J$4&amp;" ")),"OUI",""))</f>
        <v/>
      </c>
      <c r="W53" s="1195">
        <f>IF($V53="OUI",$U53,0)</f>
        <v>0</v>
      </c>
      <c r="X53" s="58" t="s">
        <v>3802</v>
      </c>
      <c r="Y53" s="1194" t="s">
        <v>3803</v>
      </c>
      <c r="Z53" s="1189" t="str">
        <f>IF($V53="OUI",COUNTIF($V$10:V53,"OUI"),"")</f>
        <v/>
      </c>
      <c r="AA53" s="1188" t="str">
        <f>IF($V53="OUI",COUNTIFS($R$10:R53,$R53,$V$10:V53,"OUI"),"")</f>
        <v/>
      </c>
      <c r="AB53" s="1201" t="str">
        <f>IF(AND($V53="OUI",$AA53=1),$R53,"")</f>
        <v/>
      </c>
    </row>
    <row r="54" spans="1:28" ht="42" customHeight="1" x14ac:dyDescent="0.25">
      <c r="A54" s="1209"/>
      <c r="B54" s="1238" t="s">
        <v>572</v>
      </c>
      <c r="C54" s="1248" t="s">
        <v>2346</v>
      </c>
      <c r="D54" s="1248" t="s">
        <v>2057</v>
      </c>
      <c r="E54" s="1248" t="s">
        <v>92</v>
      </c>
      <c r="F54" s="1247" t="str">
        <f>IF($C$4="","",IF(ISNUMBER(SEARCH(" "&amp;LOWER(C54)&amp;" "," "&amp;$C$5&amp;" ")),"OUI",""))</f>
        <v/>
      </c>
      <c r="G54" s="1244" t="s">
        <v>2347</v>
      </c>
      <c r="H54" s="1243" t="s">
        <v>2348</v>
      </c>
      <c r="I54" s="1204"/>
      <c r="J54" s="1203"/>
      <c r="K54" s="1203"/>
      <c r="L54" s="1203"/>
      <c r="M54" s="1203"/>
      <c r="N54" s="1203"/>
      <c r="O54" s="1202"/>
      <c r="Q54" s="993"/>
      <c r="R54" s="1196" t="s">
        <v>328</v>
      </c>
      <c r="S54" s="58" t="s">
        <v>3631</v>
      </c>
      <c r="T54" s="58" t="s">
        <v>3804</v>
      </c>
      <c r="U54" s="1195">
        <v>2</v>
      </c>
      <c r="V54" s="58" t="str">
        <f>IF($T54="","",IF(ISNUMBER(SEARCH(" "&amp;$T54&amp;" "," "&amp;$J$4&amp;" ")),"OUI",""))</f>
        <v/>
      </c>
      <c r="W54" s="1195">
        <f>IF($V54="OUI",$U54,0)</f>
        <v>0</v>
      </c>
      <c r="X54" s="58" t="s">
        <v>3805</v>
      </c>
      <c r="Y54" s="1194" t="s">
        <v>3806</v>
      </c>
      <c r="Z54" s="1189" t="str">
        <f>IF($V54="OUI",COUNTIF($V$10:V54,"OUI"),"")</f>
        <v/>
      </c>
      <c r="AA54" s="1188" t="str">
        <f>IF($V54="OUI",COUNTIFS($R$10:R54,$R54,$V$10:V54,"OUI"),"")</f>
        <v/>
      </c>
      <c r="AB54" s="1201" t="str">
        <f>IF(AND($V54="OUI",$AA54=1),$R54,"")</f>
        <v/>
      </c>
    </row>
    <row r="55" spans="1:28" ht="42" customHeight="1" x14ac:dyDescent="0.25">
      <c r="A55" s="1209"/>
      <c r="B55" s="1238" t="s">
        <v>572</v>
      </c>
      <c r="C55" s="1248" t="s">
        <v>2349</v>
      </c>
      <c r="D55" s="1248" t="s">
        <v>2057</v>
      </c>
      <c r="E55" s="1248" t="s">
        <v>92</v>
      </c>
      <c r="F55" s="1247" t="str">
        <f>IF($C$4="","",IF(ISNUMBER(SEARCH(" "&amp;LOWER(C55)&amp;" "," "&amp;$C$5&amp;" ")),"OUI",""))</f>
        <v/>
      </c>
      <c r="G55" s="1244" t="s">
        <v>2350</v>
      </c>
      <c r="H55" s="1243" t="s">
        <v>2351</v>
      </c>
      <c r="I55" s="1204"/>
      <c r="J55" s="1203"/>
      <c r="K55" s="1203"/>
      <c r="L55" s="1203"/>
      <c r="M55" s="1203"/>
      <c r="N55" s="1203"/>
      <c r="O55" s="1202"/>
      <c r="Q55" s="993"/>
      <c r="R55" s="1196" t="s">
        <v>328</v>
      </c>
      <c r="S55" s="58" t="s">
        <v>3700</v>
      </c>
      <c r="T55" s="58" t="s">
        <v>3807</v>
      </c>
      <c r="U55" s="1195">
        <v>1</v>
      </c>
      <c r="V55" s="58" t="str">
        <f>IF($T55="","",IF(ISNUMBER(SEARCH(" "&amp;$T55&amp;" "," "&amp;$J$4&amp;" ")),"OUI",""))</f>
        <v/>
      </c>
      <c r="W55" s="1195">
        <f>IF($V55="OUI",$U55,0)</f>
        <v>0</v>
      </c>
      <c r="X55" s="58" t="s">
        <v>3808</v>
      </c>
      <c r="Y55" s="1194" t="s">
        <v>3809</v>
      </c>
      <c r="Z55" s="1189" t="str">
        <f>IF($V55="OUI",COUNTIF($V$10:V55,"OUI"),"")</f>
        <v/>
      </c>
      <c r="AA55" s="1188" t="str">
        <f>IF($V55="OUI",COUNTIFS($R$10:R55,$R55,$V$10:V55,"OUI"),"")</f>
        <v/>
      </c>
      <c r="AB55" s="1201" t="str">
        <f>IF(AND($V55="OUI",$AA55=1),$R55,"")</f>
        <v/>
      </c>
    </row>
    <row r="56" spans="1:28" ht="42" customHeight="1" x14ac:dyDescent="0.25">
      <c r="A56" s="1209"/>
      <c r="B56" s="1238" t="s">
        <v>572</v>
      </c>
      <c r="C56" s="1248" t="s">
        <v>2352</v>
      </c>
      <c r="D56" s="1248" t="s">
        <v>2057</v>
      </c>
      <c r="E56" s="1248" t="s">
        <v>92</v>
      </c>
      <c r="F56" s="1247" t="str">
        <f>IF($C$4="","",IF(ISNUMBER(SEARCH(" "&amp;LOWER(C56)&amp;" "," "&amp;$C$5&amp;" ")),"OUI",""))</f>
        <v/>
      </c>
      <c r="G56" s="1244" t="s">
        <v>2353</v>
      </c>
      <c r="H56" s="1243" t="s">
        <v>2352</v>
      </c>
      <c r="I56" s="1204"/>
      <c r="J56" s="1203"/>
      <c r="K56" s="1203"/>
      <c r="L56" s="1203"/>
      <c r="M56" s="1203"/>
      <c r="N56" s="1203"/>
      <c r="O56" s="1202"/>
      <c r="Q56" s="993"/>
      <c r="R56" s="1196" t="s">
        <v>328</v>
      </c>
      <c r="S56" s="58" t="s">
        <v>3700</v>
      </c>
      <c r="T56" s="58" t="s">
        <v>2275</v>
      </c>
      <c r="U56" s="1195">
        <v>1</v>
      </c>
      <c r="V56" s="58" t="str">
        <f>IF($T56="","",IF(ISNUMBER(SEARCH(" "&amp;$T56&amp;" "," "&amp;$J$4&amp;" ")),"OUI",""))</f>
        <v>OUI</v>
      </c>
      <c r="W56" s="1195">
        <f>IF($V56="OUI",$U56,0)</f>
        <v>1</v>
      </c>
      <c r="X56" s="58" t="s">
        <v>3810</v>
      </c>
      <c r="Y56" s="1194" t="s">
        <v>3811</v>
      </c>
      <c r="Z56" s="1189">
        <f>IF($V56="OUI",COUNTIF($V$10:V56,"OUI"),"")</f>
        <v>3</v>
      </c>
      <c r="AA56" s="1188">
        <f>IF($V56="OUI",COUNTIFS($R$10:R56,$R56,$V$10:V56,"OUI"),"")</f>
        <v>1</v>
      </c>
      <c r="AB56" s="1201" t="str">
        <f>IF(AND($V56="OUI",$AA56=1),$R56,"")</f>
        <v>ACCEPTABILITE</v>
      </c>
    </row>
    <row r="57" spans="1:28" ht="42" customHeight="1" x14ac:dyDescent="0.25">
      <c r="A57" s="1209"/>
      <c r="B57" s="1238" t="s">
        <v>572</v>
      </c>
      <c r="C57" s="1248" t="s">
        <v>2354</v>
      </c>
      <c r="D57" s="1248" t="s">
        <v>2057</v>
      </c>
      <c r="E57" s="1248" t="s">
        <v>92</v>
      </c>
      <c r="F57" s="1247" t="str">
        <f>IF($C$4="","",IF(ISNUMBER(SEARCH(" "&amp;LOWER(C57)&amp;" "," "&amp;$C$5&amp;" ")),"OUI",""))</f>
        <v/>
      </c>
      <c r="G57" s="1244" t="s">
        <v>2355</v>
      </c>
      <c r="H57" s="1243" t="s">
        <v>2356</v>
      </c>
      <c r="I57" s="1204"/>
      <c r="J57" s="1203"/>
      <c r="K57" s="1203"/>
      <c r="L57" s="1203"/>
      <c r="M57" s="1203"/>
      <c r="N57" s="1203"/>
      <c r="O57" s="1202"/>
      <c r="Q57" s="993"/>
      <c r="R57" s="1196" t="s">
        <v>1237</v>
      </c>
      <c r="S57" s="58" t="s">
        <v>3631</v>
      </c>
      <c r="T57" s="58" t="s">
        <v>3812</v>
      </c>
      <c r="U57" s="1195">
        <v>2</v>
      </c>
      <c r="V57" s="58" t="str">
        <f>IF($T57="","",IF(ISNUMBER(SEARCH(" "&amp;$T57&amp;" "," "&amp;$J$4&amp;" ")),"OUI",""))</f>
        <v/>
      </c>
      <c r="W57" s="1195">
        <f>IF($V57="OUI",$U57,0)</f>
        <v>0</v>
      </c>
      <c r="X57" s="58" t="s">
        <v>3813</v>
      </c>
      <c r="Y57" s="1194" t="s">
        <v>3814</v>
      </c>
      <c r="Z57" s="1189" t="str">
        <f>IF($V57="OUI",COUNTIF($V$10:V57,"OUI"),"")</f>
        <v/>
      </c>
      <c r="AA57" s="1188" t="str">
        <f>IF($V57="OUI",COUNTIFS($R$10:R57,$R57,$V$10:V57,"OUI"),"")</f>
        <v/>
      </c>
      <c r="AB57" s="1201" t="str">
        <f>IF(AND($V57="OUI",$AA57=1),$R57,"")</f>
        <v/>
      </c>
    </row>
    <row r="58" spans="1:28" ht="42" customHeight="1" x14ac:dyDescent="0.25">
      <c r="A58" s="1209"/>
      <c r="B58" s="1238" t="s">
        <v>572</v>
      </c>
      <c r="C58" s="1248" t="s">
        <v>2357</v>
      </c>
      <c r="D58" s="1248" t="s">
        <v>2057</v>
      </c>
      <c r="E58" s="1248" t="s">
        <v>170</v>
      </c>
      <c r="F58" s="1247" t="str">
        <f>IF($C$4="","",IF(ISNUMBER(SEARCH(" "&amp;LOWER(C58)&amp;" "," "&amp;$C$5&amp;" ")),"OUI",""))</f>
        <v/>
      </c>
      <c r="G58" s="1244" t="s">
        <v>2358</v>
      </c>
      <c r="H58" s="1243" t="s">
        <v>2359</v>
      </c>
      <c r="I58" s="1204"/>
      <c r="J58" s="1203"/>
      <c r="K58" s="1203"/>
      <c r="L58" s="1203"/>
      <c r="M58" s="1203"/>
      <c r="N58" s="1203"/>
      <c r="O58" s="1202"/>
      <c r="Q58" s="993"/>
      <c r="R58" s="1196" t="s">
        <v>1237</v>
      </c>
      <c r="S58" s="58" t="s">
        <v>3631</v>
      </c>
      <c r="T58" s="58" t="s">
        <v>3815</v>
      </c>
      <c r="U58" s="1195">
        <v>2</v>
      </c>
      <c r="V58" s="58" t="str">
        <f>IF($T58="","",IF(ISNUMBER(SEARCH(" "&amp;$T58&amp;" "," "&amp;$J$4&amp;" ")),"OUI",""))</f>
        <v/>
      </c>
      <c r="W58" s="1195">
        <f>IF($V58="OUI",$U58,0)</f>
        <v>0</v>
      </c>
      <c r="X58" s="58" t="s">
        <v>3816</v>
      </c>
      <c r="Y58" s="1194" t="s">
        <v>3817</v>
      </c>
      <c r="Z58" s="1189" t="str">
        <f>IF($V58="OUI",COUNTIF($V$10:V58,"OUI"),"")</f>
        <v/>
      </c>
      <c r="AA58" s="1188" t="str">
        <f>IF($V58="OUI",COUNTIFS($R$10:R58,$R58,$V$10:V58,"OUI"),"")</f>
        <v/>
      </c>
      <c r="AB58" s="1201" t="str">
        <f>IF(AND($V58="OUI",$AA58=1),$R58,"")</f>
        <v/>
      </c>
    </row>
    <row r="59" spans="1:28" ht="42" customHeight="1" x14ac:dyDescent="0.25">
      <c r="A59" s="1209"/>
      <c r="B59" s="1238" t="s">
        <v>572</v>
      </c>
      <c r="C59" s="1248" t="s">
        <v>2360</v>
      </c>
      <c r="D59" s="1248" t="s">
        <v>2057</v>
      </c>
      <c r="E59" s="1248" t="s">
        <v>170</v>
      </c>
      <c r="F59" s="1247" t="str">
        <f>IF($C$4="","",IF(ISNUMBER(SEARCH(" "&amp;LOWER(C59)&amp;" "," "&amp;$C$5&amp;" ")),"OUI",""))</f>
        <v/>
      </c>
      <c r="G59" s="1244" t="s">
        <v>2361</v>
      </c>
      <c r="H59" s="1243" t="s">
        <v>2362</v>
      </c>
      <c r="I59" s="1204"/>
      <c r="J59" s="1203"/>
      <c r="K59" s="1203"/>
      <c r="L59" s="1203"/>
      <c r="M59" s="1203"/>
      <c r="N59" s="1203"/>
      <c r="O59" s="1202"/>
      <c r="Q59" s="993"/>
      <c r="R59" s="1196" t="s">
        <v>1237</v>
      </c>
      <c r="S59" s="58" t="s">
        <v>3631</v>
      </c>
      <c r="T59" s="58" t="s">
        <v>3818</v>
      </c>
      <c r="U59" s="1195">
        <v>2</v>
      </c>
      <c r="V59" s="58" t="str">
        <f>IF($T59="","",IF(ISNUMBER(SEARCH(" "&amp;$T59&amp;" "," "&amp;$J$4&amp;" ")),"OUI",""))</f>
        <v/>
      </c>
      <c r="W59" s="1195">
        <f>IF($V59="OUI",$U59,0)</f>
        <v>0</v>
      </c>
      <c r="X59" s="58" t="s">
        <v>3819</v>
      </c>
      <c r="Y59" s="1194" t="s">
        <v>3820</v>
      </c>
      <c r="Z59" s="1189" t="str">
        <f>IF($V59="OUI",COUNTIF($V$10:V59,"OUI"),"")</f>
        <v/>
      </c>
      <c r="AA59" s="1188" t="str">
        <f>IF($V59="OUI",COUNTIFS($R$10:R59,$R59,$V$10:V59,"OUI"),"")</f>
        <v/>
      </c>
      <c r="AB59" s="1201" t="str">
        <f>IF(AND($V59="OUI",$AA59=1),$R59,"")</f>
        <v/>
      </c>
    </row>
    <row r="60" spans="1:28" ht="42" customHeight="1" x14ac:dyDescent="0.25">
      <c r="A60" s="1209"/>
      <c r="B60" s="1238" t="s">
        <v>572</v>
      </c>
      <c r="C60" s="1248" t="s">
        <v>2363</v>
      </c>
      <c r="D60" s="1248" t="s">
        <v>2057</v>
      </c>
      <c r="E60" s="1248" t="s">
        <v>170</v>
      </c>
      <c r="F60" s="1247" t="str">
        <f>IF($C$4="","",IF(ISNUMBER(SEARCH(" "&amp;LOWER(C60)&amp;" "," "&amp;$C$5&amp;" ")),"OUI",""))</f>
        <v/>
      </c>
      <c r="G60" s="1244" t="s">
        <v>2364</v>
      </c>
      <c r="H60" s="1243" t="s">
        <v>2365</v>
      </c>
      <c r="I60" s="1204"/>
      <c r="J60" s="1203"/>
      <c r="K60" s="1203"/>
      <c r="L60" s="1203"/>
      <c r="M60" s="1203"/>
      <c r="N60" s="1203"/>
      <c r="O60" s="1202"/>
      <c r="Q60" s="993"/>
      <c r="R60" s="1196" t="s">
        <v>1237</v>
      </c>
      <c r="S60" s="58" t="s">
        <v>3700</v>
      </c>
      <c r="T60" s="58" t="s">
        <v>3821</v>
      </c>
      <c r="U60" s="1195">
        <v>1</v>
      </c>
      <c r="V60" s="58" t="str">
        <f>IF($T60="","",IF(ISNUMBER(SEARCH(" "&amp;$T60&amp;" "," "&amp;$J$4&amp;" ")),"OUI",""))</f>
        <v/>
      </c>
      <c r="W60" s="1195">
        <f>IF($V60="OUI",$U60,0)</f>
        <v>0</v>
      </c>
      <c r="X60" s="58" t="s">
        <v>3822</v>
      </c>
      <c r="Y60" s="1194" t="s">
        <v>3823</v>
      </c>
      <c r="Z60" s="1189" t="str">
        <f>IF($V60="OUI",COUNTIF($V$10:V60,"OUI"),"")</f>
        <v/>
      </c>
      <c r="AA60" s="1188" t="str">
        <f>IF($V60="OUI",COUNTIFS($R$10:R60,$R60,$V$10:V60,"OUI"),"")</f>
        <v/>
      </c>
      <c r="AB60" s="1201" t="str">
        <f>IF(AND($V60="OUI",$AA60=1),$R60,"")</f>
        <v/>
      </c>
    </row>
    <row r="61" spans="1:28" ht="42" customHeight="1" x14ac:dyDescent="0.25">
      <c r="A61" s="1209"/>
      <c r="B61" s="1238" t="s">
        <v>572</v>
      </c>
      <c r="C61" s="1248" t="s">
        <v>2366</v>
      </c>
      <c r="D61" s="1248" t="s">
        <v>2057</v>
      </c>
      <c r="E61" s="1248" t="s">
        <v>170</v>
      </c>
      <c r="F61" s="1247" t="str">
        <f>IF($C$4="","",IF(ISNUMBER(SEARCH(" "&amp;LOWER(C61)&amp;" "," "&amp;$C$5&amp;" ")),"OUI",""))</f>
        <v/>
      </c>
      <c r="G61" s="1244" t="s">
        <v>2367</v>
      </c>
      <c r="H61" s="1243" t="s">
        <v>2368</v>
      </c>
      <c r="I61" s="1204"/>
      <c r="J61" s="1203"/>
      <c r="K61" s="1203"/>
      <c r="L61" s="1203"/>
      <c r="M61" s="1203"/>
      <c r="N61" s="1203"/>
      <c r="O61" s="1202"/>
      <c r="Q61" s="993"/>
      <c r="R61" s="1196" t="s">
        <v>1237</v>
      </c>
      <c r="S61" s="58" t="s">
        <v>3700</v>
      </c>
      <c r="T61" s="58" t="s">
        <v>3824</v>
      </c>
      <c r="U61" s="1195">
        <v>1</v>
      </c>
      <c r="V61" s="58" t="str">
        <f>IF($T61="","",IF(ISNUMBER(SEARCH(" "&amp;$T61&amp;" "," "&amp;$J$4&amp;" ")),"OUI",""))</f>
        <v/>
      </c>
      <c r="W61" s="1195">
        <f>IF($V61="OUI",$U61,0)</f>
        <v>0</v>
      </c>
      <c r="X61" s="58" t="s">
        <v>3825</v>
      </c>
      <c r="Y61" s="1194" t="s">
        <v>3826</v>
      </c>
      <c r="Z61" s="1189" t="str">
        <f>IF($V61="OUI",COUNTIF($V$10:V61,"OUI"),"")</f>
        <v/>
      </c>
      <c r="AA61" s="1188" t="str">
        <f>IF($V61="OUI",COUNTIFS($R$10:R61,$R61,$V$10:V61,"OUI"),"")</f>
        <v/>
      </c>
      <c r="AB61" s="1201" t="str">
        <f>IF(AND($V61="OUI",$AA61=1),$R61,"")</f>
        <v/>
      </c>
    </row>
    <row r="62" spans="1:28" ht="42" customHeight="1" x14ac:dyDescent="0.25">
      <c r="A62" s="1209"/>
      <c r="B62" s="1238" t="s">
        <v>2369</v>
      </c>
      <c r="C62" s="1248" t="s">
        <v>494</v>
      </c>
      <c r="D62" s="1248" t="s">
        <v>2370</v>
      </c>
      <c r="E62" s="1248" t="s">
        <v>33</v>
      </c>
      <c r="F62" s="1247" t="str">
        <f>IF($C$4="","",IF(ISNUMBER(SEARCH(" "&amp;LOWER(C62)&amp;" "," "&amp;$C$5&amp;" ")),"OUI",""))</f>
        <v>OUI</v>
      </c>
      <c r="G62" s="1244" t="s">
        <v>2371</v>
      </c>
      <c r="H62" s="1243" t="s">
        <v>2372</v>
      </c>
      <c r="I62" s="1204"/>
      <c r="J62" s="1203"/>
      <c r="K62" s="1203"/>
      <c r="L62" s="1203"/>
      <c r="M62" s="1203"/>
      <c r="N62" s="1203"/>
      <c r="O62" s="1202"/>
      <c r="Q62" s="993"/>
      <c r="R62" s="1196" t="s">
        <v>1237</v>
      </c>
      <c r="S62" s="58" t="s">
        <v>3700</v>
      </c>
      <c r="T62" s="58" t="s">
        <v>1236</v>
      </c>
      <c r="U62" s="1195">
        <v>2</v>
      </c>
      <c r="V62" s="58" t="str">
        <f>IF($T62="","",IF(ISNUMBER(SEARCH(" "&amp;$T62&amp;" "," "&amp;$J$4&amp;" ")),"OUI",""))</f>
        <v/>
      </c>
      <c r="W62" s="1195">
        <f>IF($V62="OUI",$U62,0)</f>
        <v>0</v>
      </c>
      <c r="X62" s="58" t="s">
        <v>3827</v>
      </c>
      <c r="Y62" s="1194" t="s">
        <v>3828</v>
      </c>
      <c r="Z62" s="1189" t="str">
        <f>IF($V62="OUI",COUNTIF($V$10:V62,"OUI"),"")</f>
        <v/>
      </c>
      <c r="AA62" s="1188" t="str">
        <f>IF($V62="OUI",COUNTIFS($R$10:R62,$R62,$V$10:V62,"OUI"),"")</f>
        <v/>
      </c>
      <c r="AB62" s="1201" t="str">
        <f>IF(AND($V62="OUI",$AA62=1),$R62,"")</f>
        <v/>
      </c>
    </row>
    <row r="63" spans="1:28" ht="42" customHeight="1" x14ac:dyDescent="0.25">
      <c r="A63" s="1209"/>
      <c r="B63" s="1238" t="s">
        <v>2369</v>
      </c>
      <c r="C63" s="1248" t="s">
        <v>2204</v>
      </c>
      <c r="D63" s="1248" t="s">
        <v>2205</v>
      </c>
      <c r="E63" s="1248" t="s">
        <v>33</v>
      </c>
      <c r="F63" s="1247" t="str">
        <f>IF($C$4="","",IF(ISNUMBER(SEARCH(" "&amp;LOWER(C63)&amp;" "," "&amp;$C$5&amp;" ")),"OUI",""))</f>
        <v>OUI</v>
      </c>
      <c r="G63" s="1244" t="s">
        <v>2373</v>
      </c>
      <c r="H63" s="1243" t="s">
        <v>2374</v>
      </c>
      <c r="I63" s="1204"/>
      <c r="J63" s="1203"/>
      <c r="K63" s="1203"/>
      <c r="L63" s="1203"/>
      <c r="M63" s="1203"/>
      <c r="N63" s="1203"/>
      <c r="O63" s="1202"/>
      <c r="Q63" s="993"/>
      <c r="R63" s="1196" t="s">
        <v>1237</v>
      </c>
      <c r="S63" s="58" t="s">
        <v>3700</v>
      </c>
      <c r="T63" s="58" t="s">
        <v>3829</v>
      </c>
      <c r="U63" s="1195">
        <v>1</v>
      </c>
      <c r="V63" s="58" t="str">
        <f>IF($T63="","",IF(ISNUMBER(SEARCH(" "&amp;$T63&amp;" "," "&amp;$J$4&amp;" ")),"OUI",""))</f>
        <v/>
      </c>
      <c r="W63" s="1195">
        <f>IF($V63="OUI",$U63,0)</f>
        <v>0</v>
      </c>
      <c r="X63" s="58" t="s">
        <v>3830</v>
      </c>
      <c r="Y63" s="1194" t="s">
        <v>3831</v>
      </c>
      <c r="Z63" s="1189" t="str">
        <f>IF($V63="OUI",COUNTIF($V$10:V63,"OUI"),"")</f>
        <v/>
      </c>
      <c r="AA63" s="1188" t="str">
        <f>IF($V63="OUI",COUNTIFS($R$10:R63,$R63,$V$10:V63,"OUI"),"")</f>
        <v/>
      </c>
      <c r="AB63" s="1201" t="str">
        <f>IF(AND($V63="OUI",$AA63=1),$R63,"")</f>
        <v/>
      </c>
    </row>
    <row r="64" spans="1:28" ht="42" customHeight="1" x14ac:dyDescent="0.25">
      <c r="A64" s="1209"/>
      <c r="B64" s="1238" t="s">
        <v>2375</v>
      </c>
      <c r="C64" s="1248" t="s">
        <v>2376</v>
      </c>
      <c r="D64" s="1248" t="s">
        <v>1720</v>
      </c>
      <c r="E64" s="1248" t="s">
        <v>170</v>
      </c>
      <c r="F64" s="1247" t="str">
        <f>IF($C$4="","",IF(ISNUMBER(SEARCH(" "&amp;LOWER(C64)&amp;" "," "&amp;$C$5&amp;" ")),"OUI",""))</f>
        <v>OUI</v>
      </c>
      <c r="G64" s="1244" t="s">
        <v>2377</v>
      </c>
      <c r="H64" s="1243" t="s">
        <v>385</v>
      </c>
      <c r="I64" s="1204"/>
      <c r="J64" s="1203"/>
      <c r="K64" s="1203"/>
      <c r="L64" s="1203"/>
      <c r="M64" s="1203"/>
      <c r="N64" s="1203"/>
      <c r="O64" s="1202"/>
      <c r="Q64" s="993"/>
      <c r="R64" s="1196" t="s">
        <v>1237</v>
      </c>
      <c r="S64" s="58" t="s">
        <v>3700</v>
      </c>
      <c r="T64" s="58" t="s">
        <v>3832</v>
      </c>
      <c r="U64" s="1195">
        <v>1</v>
      </c>
      <c r="V64" s="58" t="str">
        <f>IF($T64="","",IF(ISNUMBER(SEARCH(" "&amp;$T64&amp;" "," "&amp;$J$4&amp;" ")),"OUI",""))</f>
        <v/>
      </c>
      <c r="W64" s="1195">
        <f>IF($V64="OUI",$U64,0)</f>
        <v>0</v>
      </c>
      <c r="X64" s="58" t="s">
        <v>3833</v>
      </c>
      <c r="Y64" s="1194" t="s">
        <v>3834</v>
      </c>
      <c r="Z64" s="1189" t="str">
        <f>IF($V64="OUI",COUNTIF($V$10:V64,"OUI"),"")</f>
        <v/>
      </c>
      <c r="AA64" s="1188" t="str">
        <f>IF($V64="OUI",COUNTIFS($R$10:R64,$R64,$V$10:V64,"OUI"),"")</f>
        <v/>
      </c>
      <c r="AB64" s="1201" t="str">
        <f>IF(AND($V64="OUI",$AA64=1),$R64,"")</f>
        <v/>
      </c>
    </row>
    <row r="65" spans="1:28" ht="42" customHeight="1" x14ac:dyDescent="0.25">
      <c r="A65" s="1209"/>
      <c r="B65" s="1238" t="s">
        <v>2375</v>
      </c>
      <c r="C65" s="1248" t="s">
        <v>2007</v>
      </c>
      <c r="D65" s="1248" t="s">
        <v>1720</v>
      </c>
      <c r="E65" s="1248" t="s">
        <v>170</v>
      </c>
      <c r="F65" s="1247" t="str">
        <f>IF($C$4="","",IF(ISNUMBER(SEARCH(" "&amp;LOWER(C65)&amp;" "," "&amp;$C$5&amp;" ")),"OUI",""))</f>
        <v/>
      </c>
      <c r="G65" s="1244" t="s">
        <v>2378</v>
      </c>
      <c r="H65" s="1243" t="s">
        <v>2379</v>
      </c>
      <c r="I65" s="1204"/>
      <c r="J65" s="1203"/>
      <c r="K65" s="1203"/>
      <c r="L65" s="1203"/>
      <c r="M65" s="1203"/>
      <c r="N65" s="1203"/>
      <c r="O65" s="1202"/>
      <c r="Q65" s="993"/>
      <c r="R65" s="1196" t="s">
        <v>1237</v>
      </c>
      <c r="S65" s="58" t="s">
        <v>3700</v>
      </c>
      <c r="T65" s="58" t="s">
        <v>3835</v>
      </c>
      <c r="U65" s="1195">
        <v>1</v>
      </c>
      <c r="V65" s="58" t="str">
        <f>IF($T65="","",IF(ISNUMBER(SEARCH(" "&amp;$T65&amp;" "," "&amp;$J$4&amp;" ")),"OUI",""))</f>
        <v>OUI</v>
      </c>
      <c r="W65" s="1195">
        <f>IF($V65="OUI",$U65,0)</f>
        <v>1</v>
      </c>
      <c r="X65" s="58" t="s">
        <v>3836</v>
      </c>
      <c r="Y65" s="1194" t="s">
        <v>3837</v>
      </c>
      <c r="Z65" s="1189">
        <f>IF($V65="OUI",COUNTIF($V$10:V65,"OUI"),"")</f>
        <v>4</v>
      </c>
      <c r="AA65" s="1188">
        <f>IF($V65="OUI",COUNTIFS($R$10:R65,$R65,$V$10:V65,"OUI"),"")</f>
        <v>1</v>
      </c>
      <c r="AB65" s="1201" t="str">
        <f>IF(AND($V65="OUI",$AA65=1),$R65,"")</f>
        <v>COMMUNICATION</v>
      </c>
    </row>
    <row r="66" spans="1:28" ht="42" customHeight="1" x14ac:dyDescent="0.25">
      <c r="A66" s="1209"/>
      <c r="B66" s="1238" t="s">
        <v>2375</v>
      </c>
      <c r="C66" s="1248" t="s">
        <v>398</v>
      </c>
      <c r="D66" s="1248" t="s">
        <v>1720</v>
      </c>
      <c r="E66" s="1248" t="s">
        <v>170</v>
      </c>
      <c r="F66" s="1247" t="str">
        <f>IF($C$4="","",IF(ISNUMBER(SEARCH(" "&amp;LOWER(C66)&amp;" "," "&amp;$C$5&amp;" ")),"OUI",""))</f>
        <v/>
      </c>
      <c r="G66" s="1244" t="s">
        <v>2380</v>
      </c>
      <c r="H66" s="1243" t="s">
        <v>2381</v>
      </c>
      <c r="I66" s="1204"/>
      <c r="J66" s="1203"/>
      <c r="K66" s="1203"/>
      <c r="L66" s="1203"/>
      <c r="M66" s="1203"/>
      <c r="N66" s="1203"/>
      <c r="O66" s="1202"/>
      <c r="Q66" s="993"/>
      <c r="R66" s="1196" t="s">
        <v>3651</v>
      </c>
      <c r="S66" s="58" t="s">
        <v>3838</v>
      </c>
      <c r="T66" s="58" t="s">
        <v>2204</v>
      </c>
      <c r="U66" s="1195">
        <v>3</v>
      </c>
      <c r="V66" s="58" t="str">
        <f>IF($T66="","",IF(ISNUMBER(SEARCH(" "&amp;$T66&amp;" "," "&amp;$J$4&amp;" ")),"OUI",""))</f>
        <v>OUI</v>
      </c>
      <c r="W66" s="1195">
        <f>IF($V66="OUI",$U66,0)</f>
        <v>3</v>
      </c>
      <c r="X66" s="58" t="s">
        <v>3839</v>
      </c>
      <c r="Y66" s="1194" t="s">
        <v>3840</v>
      </c>
      <c r="Z66" s="1189">
        <f>IF($V66="OUI",COUNTIF($V$10:V66,"OUI"),"")</f>
        <v>5</v>
      </c>
      <c r="AA66" s="1188">
        <f>IF($V66="OUI",COUNTIFS($R$10:R66,$R66,$V$10:V66,"OUI"),"")</f>
        <v>1</v>
      </c>
      <c r="AB66" s="1201" t="str">
        <f>IF(AND($V66="OUI",$AA66=1),$R66,"")</f>
        <v>ALLERGENES</v>
      </c>
    </row>
    <row r="67" spans="1:28" ht="42" customHeight="1" x14ac:dyDescent="0.25">
      <c r="A67" s="1209"/>
      <c r="B67" s="1238" t="s">
        <v>2375</v>
      </c>
      <c r="C67" s="1248" t="s">
        <v>1644</v>
      </c>
      <c r="D67" s="1248" t="s">
        <v>1720</v>
      </c>
      <c r="E67" s="1248" t="s">
        <v>170</v>
      </c>
      <c r="F67" s="1247" t="str">
        <f>IF($C$4="","",IF(ISNUMBER(SEARCH(" "&amp;LOWER(C67)&amp;" "," "&amp;$C$5&amp;" ")),"OUI",""))</f>
        <v>OUI</v>
      </c>
      <c r="G67" s="1244" t="s">
        <v>2382</v>
      </c>
      <c r="H67" s="1243" t="s">
        <v>410</v>
      </c>
      <c r="I67" s="1204"/>
      <c r="J67" s="1203"/>
      <c r="K67" s="1203"/>
      <c r="L67" s="1203"/>
      <c r="M67" s="1203"/>
      <c r="N67" s="1203"/>
      <c r="O67" s="1202"/>
      <c r="Q67" s="993"/>
      <c r="R67" s="1196" t="s">
        <v>3651</v>
      </c>
      <c r="S67" s="58" t="s">
        <v>3838</v>
      </c>
      <c r="T67" s="58" t="s">
        <v>494</v>
      </c>
      <c r="U67" s="1195">
        <v>3</v>
      </c>
      <c r="V67" s="58" t="str">
        <f>IF($T67="","",IF(ISNUMBER(SEARCH(" "&amp;$T67&amp;" "," "&amp;$J$4&amp;" ")),"OUI",""))</f>
        <v>OUI</v>
      </c>
      <c r="W67" s="1195">
        <f>IF($V67="OUI",$U67,0)</f>
        <v>3</v>
      </c>
      <c r="X67" s="58" t="s">
        <v>3841</v>
      </c>
      <c r="Y67" s="1194" t="s">
        <v>3842</v>
      </c>
      <c r="Z67" s="1189">
        <f>IF($V67="OUI",COUNTIF($V$10:V67,"OUI"),"")</f>
        <v>6</v>
      </c>
      <c r="AA67" s="1188">
        <f>IF($V67="OUI",COUNTIFS($R$10:R67,$R67,$V$10:V67,"OUI"),"")</f>
        <v>2</v>
      </c>
      <c r="AB67" s="1201" t="str">
        <f>IF(AND($V67="OUI",$AA67=1),$R67,"")</f>
        <v/>
      </c>
    </row>
    <row r="68" spans="1:28" ht="42" customHeight="1" x14ac:dyDescent="0.25">
      <c r="A68" s="1209"/>
      <c r="B68" s="1238" t="s">
        <v>2375</v>
      </c>
      <c r="C68" s="1248" t="s">
        <v>425</v>
      </c>
      <c r="D68" s="1248" t="s">
        <v>1720</v>
      </c>
      <c r="E68" s="1248" t="s">
        <v>170</v>
      </c>
      <c r="F68" s="1247" t="str">
        <f>IF($C$4="","",IF(ISNUMBER(SEARCH(" "&amp;LOWER(C68)&amp;" "," "&amp;$C$5&amp;" ")),"OUI",""))</f>
        <v>OUI</v>
      </c>
      <c r="G68" s="1244" t="s">
        <v>2383</v>
      </c>
      <c r="H68" s="1243" t="s">
        <v>425</v>
      </c>
      <c r="I68" s="1204"/>
      <c r="J68" s="1203"/>
      <c r="K68" s="1203"/>
      <c r="L68" s="1203"/>
      <c r="M68" s="1203"/>
      <c r="N68" s="1203"/>
      <c r="O68" s="1202"/>
      <c r="Q68" s="993"/>
      <c r="R68" s="1196" t="s">
        <v>3651</v>
      </c>
      <c r="S68" s="58" t="s">
        <v>3838</v>
      </c>
      <c r="T68" s="58" t="s">
        <v>1493</v>
      </c>
      <c r="U68" s="1195">
        <v>3</v>
      </c>
      <c r="V68" s="58" t="str">
        <f>IF($T68="","",IF(ISNUMBER(SEARCH(" "&amp;$T68&amp;" "," "&amp;$J$4&amp;" ")),"OUI",""))</f>
        <v/>
      </c>
      <c r="W68" s="1195">
        <f>IF($V68="OUI",$U68,0)</f>
        <v>0</v>
      </c>
      <c r="X68" s="58" t="s">
        <v>3843</v>
      </c>
      <c r="Y68" s="1194" t="s">
        <v>3844</v>
      </c>
      <c r="Z68" s="1189" t="str">
        <f>IF($V68="OUI",COUNTIF($V$10:V68,"OUI"),"")</f>
        <v/>
      </c>
      <c r="AA68" s="1188" t="str">
        <f>IF($V68="OUI",COUNTIFS($R$10:R68,$R68,$V$10:V68,"OUI"),"")</f>
        <v/>
      </c>
      <c r="AB68" s="1201" t="str">
        <f>IF(AND($V68="OUI",$AA68=1),$R68,"")</f>
        <v/>
      </c>
    </row>
    <row r="69" spans="1:28" ht="42" customHeight="1" x14ac:dyDescent="0.25">
      <c r="A69" s="1209"/>
      <c r="B69" s="1238" t="s">
        <v>2375</v>
      </c>
      <c r="C69" s="1248" t="s">
        <v>439</v>
      </c>
      <c r="D69" s="1248" t="s">
        <v>1720</v>
      </c>
      <c r="E69" s="1248" t="s">
        <v>170</v>
      </c>
      <c r="F69" s="1247" t="str">
        <f>IF($C$4="","",IF(ISNUMBER(SEARCH(" "&amp;LOWER(C69)&amp;" "," "&amp;$C$5&amp;" ")),"OUI",""))</f>
        <v/>
      </c>
      <c r="G69" s="1244" t="s">
        <v>2384</v>
      </c>
      <c r="H69" s="1243" t="s">
        <v>439</v>
      </c>
      <c r="I69" s="1204"/>
      <c r="J69" s="1203"/>
      <c r="K69" s="1203"/>
      <c r="L69" s="1203"/>
      <c r="M69" s="1203"/>
      <c r="N69" s="1203"/>
      <c r="O69" s="1202"/>
      <c r="Q69" s="993"/>
      <c r="R69" s="1196" t="s">
        <v>3651</v>
      </c>
      <c r="S69" s="58" t="s">
        <v>3838</v>
      </c>
      <c r="T69" s="58" t="s">
        <v>454</v>
      </c>
      <c r="U69" s="1195">
        <v>2</v>
      </c>
      <c r="V69" s="58" t="str">
        <f>IF($T69="","",IF(ISNUMBER(SEARCH(" "&amp;$T69&amp;" "," "&amp;$J$4&amp;" ")),"OUI",""))</f>
        <v/>
      </c>
      <c r="W69" s="1195">
        <f>IF($V69="OUI",$U69,0)</f>
        <v>0</v>
      </c>
      <c r="X69" s="58" t="s">
        <v>3845</v>
      </c>
      <c r="Y69" s="1194" t="s">
        <v>3846</v>
      </c>
      <c r="Z69" s="1189" t="str">
        <f>IF($V69="OUI",COUNTIF($V$10:V69,"OUI"),"")</f>
        <v/>
      </c>
      <c r="AA69" s="1188" t="str">
        <f>IF($V69="OUI",COUNTIFS($R$10:R69,$R69,$V$10:V69,"OUI"),"")</f>
        <v/>
      </c>
      <c r="AB69" s="1201" t="str">
        <f>IF(AND($V69="OUI",$AA69=1),$R69,"")</f>
        <v/>
      </c>
    </row>
    <row r="70" spans="1:28" ht="42" customHeight="1" x14ac:dyDescent="0.25">
      <c r="A70" s="1209"/>
      <c r="B70" s="1238" t="s">
        <v>2375</v>
      </c>
      <c r="C70" s="1248" t="s">
        <v>2385</v>
      </c>
      <c r="D70" s="1248" t="s">
        <v>1720</v>
      </c>
      <c r="E70" s="1248" t="s">
        <v>170</v>
      </c>
      <c r="F70" s="1247" t="str">
        <f>IF($C$4="","",IF(ISNUMBER(SEARCH(" "&amp;LOWER(C70)&amp;" "," "&amp;$C$5&amp;" ")),"OUI",""))</f>
        <v/>
      </c>
      <c r="G70" s="1244" t="s">
        <v>2386</v>
      </c>
      <c r="H70" s="1243" t="s">
        <v>2385</v>
      </c>
      <c r="I70" s="1204"/>
      <c r="J70" s="1203"/>
      <c r="K70" s="1203"/>
      <c r="L70" s="1203"/>
      <c r="M70" s="1203"/>
      <c r="N70" s="1203"/>
      <c r="O70" s="1202"/>
      <c r="Q70" s="993"/>
      <c r="R70" s="1196" t="s">
        <v>3651</v>
      </c>
      <c r="S70" s="58" t="s">
        <v>3838</v>
      </c>
      <c r="T70" s="58" t="s">
        <v>1504</v>
      </c>
      <c r="U70" s="1195">
        <v>3</v>
      </c>
      <c r="V70" s="58" t="str">
        <f>IF($T70="","",IF(ISNUMBER(SEARCH(" "&amp;$T70&amp;" "," "&amp;$J$4&amp;" ")),"OUI",""))</f>
        <v/>
      </c>
      <c r="W70" s="1195">
        <f>IF($V70="OUI",$U70,0)</f>
        <v>0</v>
      </c>
      <c r="X70" s="58" t="s">
        <v>3847</v>
      </c>
      <c r="Y70" s="1194" t="s">
        <v>3848</v>
      </c>
      <c r="Z70" s="1189" t="str">
        <f>IF($V70="OUI",COUNTIF($V$10:V70,"OUI"),"")</f>
        <v/>
      </c>
      <c r="AA70" s="1188" t="str">
        <f>IF($V70="OUI",COUNTIFS($R$10:R70,$R70,$V$10:V70,"OUI"),"")</f>
        <v/>
      </c>
      <c r="AB70" s="1201" t="str">
        <f>IF(AND($V70="OUI",$AA70=1),$R70,"")</f>
        <v/>
      </c>
    </row>
    <row r="71" spans="1:28" ht="42" customHeight="1" x14ac:dyDescent="0.25">
      <c r="A71" s="1209"/>
      <c r="B71" s="1238" t="s">
        <v>2375</v>
      </c>
      <c r="C71" s="1248" t="s">
        <v>2387</v>
      </c>
      <c r="D71" s="1248" t="s">
        <v>1720</v>
      </c>
      <c r="E71" s="1248" t="s">
        <v>170</v>
      </c>
      <c r="F71" s="1247" t="str">
        <f>IF($C$4="","",IF(ISNUMBER(SEARCH(" "&amp;LOWER(C71)&amp;" "," "&amp;$C$5&amp;" ")),"OUI",""))</f>
        <v/>
      </c>
      <c r="G71" s="1244" t="s">
        <v>2388</v>
      </c>
      <c r="H71" s="1243" t="s">
        <v>2389</v>
      </c>
      <c r="I71" s="1204"/>
      <c r="J71" s="1203"/>
      <c r="K71" s="1203"/>
      <c r="L71" s="1203"/>
      <c r="M71" s="1203"/>
      <c r="N71" s="1203"/>
      <c r="O71" s="1202"/>
      <c r="Q71" s="993"/>
      <c r="R71" s="1196" t="s">
        <v>3651</v>
      </c>
      <c r="S71" s="58" t="s">
        <v>3838</v>
      </c>
      <c r="T71" s="58" t="s">
        <v>3189</v>
      </c>
      <c r="U71" s="1195">
        <v>2</v>
      </c>
      <c r="V71" s="58" t="str">
        <f>IF($T71="","",IF(ISNUMBER(SEARCH(" "&amp;$T71&amp;" "," "&amp;$J$4&amp;" ")),"OUI",""))</f>
        <v/>
      </c>
      <c r="W71" s="1195">
        <f>IF($V71="OUI",$U71,0)</f>
        <v>0</v>
      </c>
      <c r="X71" s="58" t="s">
        <v>3849</v>
      </c>
      <c r="Y71" s="1194" t="s">
        <v>3850</v>
      </c>
      <c r="Z71" s="1189" t="str">
        <f>IF($V71="OUI",COUNTIF($V$10:V71,"OUI"),"")</f>
        <v/>
      </c>
      <c r="AA71" s="1188" t="str">
        <f>IF($V71="OUI",COUNTIFS($R$10:R71,$R71,$V$10:V71,"OUI"),"")</f>
        <v/>
      </c>
      <c r="AB71" s="1201" t="str">
        <f>IF(AND($V71="OUI",$AA71=1),$R71,"")</f>
        <v/>
      </c>
    </row>
    <row r="72" spans="1:28" ht="42" customHeight="1" x14ac:dyDescent="0.25">
      <c r="A72" s="1209"/>
      <c r="B72" s="1238" t="s">
        <v>2375</v>
      </c>
      <c r="C72" s="1248" t="s">
        <v>2390</v>
      </c>
      <c r="D72" s="1248" t="s">
        <v>1720</v>
      </c>
      <c r="E72" s="1248" t="s">
        <v>170</v>
      </c>
      <c r="F72" s="1247" t="str">
        <f>IF($C$4="","",IF(ISNUMBER(SEARCH(" "&amp;LOWER(C72)&amp;" "," "&amp;$C$5&amp;" ")),"OUI",""))</f>
        <v/>
      </c>
      <c r="G72" s="1244" t="s">
        <v>2391</v>
      </c>
      <c r="H72" s="1243" t="s">
        <v>2390</v>
      </c>
      <c r="I72" s="1204"/>
      <c r="J72" s="1203"/>
      <c r="K72" s="1203"/>
      <c r="L72" s="1203"/>
      <c r="M72" s="1203"/>
      <c r="N72" s="1203"/>
      <c r="O72" s="1202"/>
      <c r="Q72" s="993"/>
      <c r="R72" s="1196" t="s">
        <v>3651</v>
      </c>
      <c r="S72" s="58" t="s">
        <v>3838</v>
      </c>
      <c r="T72" s="58" t="s">
        <v>3851</v>
      </c>
      <c r="U72" s="1195">
        <v>2</v>
      </c>
      <c r="V72" s="58" t="str">
        <f>IF($T72="","",IF(ISNUMBER(SEARCH(" "&amp;$T72&amp;" "," "&amp;$J$4&amp;" ")),"OUI",""))</f>
        <v/>
      </c>
      <c r="W72" s="1195">
        <f>IF($V72="OUI",$U72,0)</f>
        <v>0</v>
      </c>
      <c r="X72" s="58" t="s">
        <v>3852</v>
      </c>
      <c r="Y72" s="1194" t="s">
        <v>3853</v>
      </c>
      <c r="Z72" s="1189" t="str">
        <f>IF($V72="OUI",COUNTIF($V$10:V72,"OUI"),"")</f>
        <v/>
      </c>
      <c r="AA72" s="1188" t="str">
        <f>IF($V72="OUI",COUNTIFS($R$10:R72,$R72,$V$10:V72,"OUI"),"")</f>
        <v/>
      </c>
      <c r="AB72" s="1201" t="str">
        <f>IF(AND($V72="OUI",$AA72=1),$R72,"")</f>
        <v/>
      </c>
    </row>
    <row r="73" spans="1:28" ht="42" customHeight="1" x14ac:dyDescent="0.25">
      <c r="A73" s="1209"/>
      <c r="B73" s="1238" t="s">
        <v>2375</v>
      </c>
      <c r="C73" s="1248" t="s">
        <v>1493</v>
      </c>
      <c r="D73" s="1248" t="s">
        <v>2392</v>
      </c>
      <c r="E73" s="1248" t="s">
        <v>92</v>
      </c>
      <c r="F73" s="1247" t="str">
        <f>IF($C$4="","",IF(ISNUMBER(SEARCH(" "&amp;LOWER(C73)&amp;" "," "&amp;$C$5&amp;" ")),"OUI",""))</f>
        <v/>
      </c>
      <c r="G73" s="1244" t="s">
        <v>2393</v>
      </c>
      <c r="H73" s="1243" t="s">
        <v>1493</v>
      </c>
      <c r="I73" s="1204"/>
      <c r="J73" s="1203"/>
      <c r="K73" s="1203"/>
      <c r="L73" s="1203"/>
      <c r="M73" s="1203"/>
      <c r="N73" s="1203"/>
      <c r="O73" s="1202"/>
      <c r="Q73" s="993"/>
      <c r="R73" s="1196" t="s">
        <v>3651</v>
      </c>
      <c r="S73" s="58" t="s">
        <v>3838</v>
      </c>
      <c r="T73" s="58" t="s">
        <v>3854</v>
      </c>
      <c r="U73" s="1195">
        <v>2</v>
      </c>
      <c r="V73" s="58" t="str">
        <f>IF($T73="","",IF(ISNUMBER(SEARCH(" "&amp;$T73&amp;" "," "&amp;$J$4&amp;" ")),"OUI",""))</f>
        <v/>
      </c>
      <c r="W73" s="1195">
        <f>IF($V73="OUI",$U73,0)</f>
        <v>0</v>
      </c>
      <c r="X73" s="58" t="s">
        <v>3855</v>
      </c>
      <c r="Y73" s="1194" t="s">
        <v>3856</v>
      </c>
      <c r="Z73" s="1189" t="str">
        <f>IF($V73="OUI",COUNTIF($V$10:V73,"OUI"),"")</f>
        <v/>
      </c>
      <c r="AA73" s="1188" t="str">
        <f>IF($V73="OUI",COUNTIFS($R$10:R73,$R73,$V$10:V73,"OUI"),"")</f>
        <v/>
      </c>
      <c r="AB73" s="1201" t="str">
        <f>IF(AND($V73="OUI",$AA73=1),$R73,"")</f>
        <v/>
      </c>
    </row>
    <row r="74" spans="1:28" ht="42" customHeight="1" x14ac:dyDescent="0.25">
      <c r="A74" s="1209"/>
      <c r="B74" s="1238" t="s">
        <v>2375</v>
      </c>
      <c r="C74" s="1248" t="s">
        <v>454</v>
      </c>
      <c r="D74" s="1248" t="s">
        <v>1720</v>
      </c>
      <c r="E74" s="1248" t="s">
        <v>170</v>
      </c>
      <c r="F74" s="1247" t="str">
        <f>IF($C$4="","",IF(ISNUMBER(SEARCH(" "&amp;LOWER(C74)&amp;" "," "&amp;$C$5&amp;" ")),"OUI",""))</f>
        <v/>
      </c>
      <c r="G74" s="1244" t="s">
        <v>2394</v>
      </c>
      <c r="H74" s="1243" t="s">
        <v>2395</v>
      </c>
      <c r="I74" s="1204"/>
      <c r="J74" s="1203"/>
      <c r="K74" s="1203"/>
      <c r="L74" s="1203"/>
      <c r="M74" s="1203"/>
      <c r="N74" s="1203"/>
      <c r="O74" s="1202"/>
      <c r="Q74" s="993"/>
      <c r="R74" s="1196" t="s">
        <v>3651</v>
      </c>
      <c r="S74" s="58" t="s">
        <v>3838</v>
      </c>
      <c r="T74" s="58" t="s">
        <v>3857</v>
      </c>
      <c r="U74" s="1195">
        <v>3</v>
      </c>
      <c r="V74" s="58" t="str">
        <f>IF($T74="","",IF(ISNUMBER(SEARCH(" "&amp;$T74&amp;" "," "&amp;$J$4&amp;" ")),"OUI",""))</f>
        <v/>
      </c>
      <c r="W74" s="1195">
        <f>IF($V74="OUI",$U74,0)</f>
        <v>0</v>
      </c>
      <c r="X74" s="58" t="s">
        <v>3858</v>
      </c>
      <c r="Y74" s="1194" t="s">
        <v>3859</v>
      </c>
      <c r="Z74" s="1189" t="str">
        <f>IF($V74="OUI",COUNTIF($V$10:V74,"OUI"),"")</f>
        <v/>
      </c>
      <c r="AA74" s="1188" t="str">
        <f>IF($V74="OUI",COUNTIFS($R$10:R74,$R74,$V$10:V74,"OUI"),"")</f>
        <v/>
      </c>
      <c r="AB74" s="1201" t="str">
        <f>IF(AND($V74="OUI",$AA74=1),$R74,"")</f>
        <v/>
      </c>
    </row>
    <row r="75" spans="1:28" ht="42" customHeight="1" x14ac:dyDescent="0.25">
      <c r="A75" s="1209"/>
      <c r="B75" s="1238" t="s">
        <v>2375</v>
      </c>
      <c r="C75" s="1248" t="s">
        <v>468</v>
      </c>
      <c r="D75" s="1248" t="s">
        <v>1720</v>
      </c>
      <c r="E75" s="1248" t="s">
        <v>170</v>
      </c>
      <c r="F75" s="1247" t="str">
        <f>IF($C$4="","",IF(ISNUMBER(SEARCH(" "&amp;LOWER(C75)&amp;" "," "&amp;$C$5&amp;" ")),"OUI",""))</f>
        <v/>
      </c>
      <c r="G75" s="1244" t="s">
        <v>2396</v>
      </c>
      <c r="H75" s="1243" t="s">
        <v>468</v>
      </c>
      <c r="I75" s="1204"/>
      <c r="J75" s="1203"/>
      <c r="K75" s="1203"/>
      <c r="L75" s="1203"/>
      <c r="M75" s="1203"/>
      <c r="N75" s="1203"/>
      <c r="O75" s="1202"/>
      <c r="Q75" s="993"/>
      <c r="R75" s="1196" t="s">
        <v>3651</v>
      </c>
      <c r="S75" s="58" t="s">
        <v>3700</v>
      </c>
      <c r="T75" s="58" t="s">
        <v>3860</v>
      </c>
      <c r="U75" s="1195">
        <v>2</v>
      </c>
      <c r="V75" s="58" t="str">
        <f>IF($T75="","",IF(ISNUMBER(SEARCH(" "&amp;$T75&amp;" "," "&amp;$J$4&amp;" ")),"OUI",""))</f>
        <v>OUI</v>
      </c>
      <c r="W75" s="1195">
        <f>IF($V75="OUI",$U75,0)</f>
        <v>2</v>
      </c>
      <c r="X75" s="58" t="s">
        <v>3861</v>
      </c>
      <c r="Y75" s="1194" t="s">
        <v>3862</v>
      </c>
      <c r="Z75" s="1189">
        <f>IF($V75="OUI",COUNTIF($V$10:V75,"OUI"),"")</f>
        <v>7</v>
      </c>
      <c r="AA75" s="1188">
        <f>IF($V75="OUI",COUNTIFS($R$10:R75,$R75,$V$10:V75,"OUI"),"")</f>
        <v>3</v>
      </c>
      <c r="AB75" s="1201" t="str">
        <f>IF(AND($V75="OUI",$AA75=1),$R75,"")</f>
        <v/>
      </c>
    </row>
    <row r="76" spans="1:28" ht="42" customHeight="1" x14ac:dyDescent="0.25">
      <c r="A76" s="1209"/>
      <c r="B76" s="1238" t="s">
        <v>2375</v>
      </c>
      <c r="C76" s="1248" t="s">
        <v>1504</v>
      </c>
      <c r="D76" s="1248" t="s">
        <v>2392</v>
      </c>
      <c r="E76" s="1248" t="s">
        <v>92</v>
      </c>
      <c r="F76" s="1247" t="str">
        <f>IF($C$4="","",IF(ISNUMBER(SEARCH(" "&amp;LOWER(C76)&amp;" "," "&amp;$C$5&amp;" ")),"OUI",""))</f>
        <v/>
      </c>
      <c r="G76" s="1244" t="s">
        <v>2397</v>
      </c>
      <c r="H76" s="1243" t="s">
        <v>1504</v>
      </c>
      <c r="I76" s="1204"/>
      <c r="J76" s="1203"/>
      <c r="K76" s="1203"/>
      <c r="L76" s="1203"/>
      <c r="M76" s="1203"/>
      <c r="N76" s="1203"/>
      <c r="O76" s="1202"/>
      <c r="Q76" s="993"/>
      <c r="R76" s="1196" t="s">
        <v>3651</v>
      </c>
      <c r="S76" s="58" t="s">
        <v>3700</v>
      </c>
      <c r="T76" s="58" t="s">
        <v>1453</v>
      </c>
      <c r="U76" s="1195">
        <v>1</v>
      </c>
      <c r="V76" s="58" t="str">
        <f>IF($T76="","",IF(ISNUMBER(SEARCH(" "&amp;$T76&amp;" "," "&amp;$J$4&amp;" ")),"OUI",""))</f>
        <v/>
      </c>
      <c r="W76" s="1195">
        <f>IF($V76="OUI",$U76,0)</f>
        <v>0</v>
      </c>
      <c r="X76" s="58" t="s">
        <v>3863</v>
      </c>
      <c r="Y76" s="1194" t="s">
        <v>3864</v>
      </c>
      <c r="Z76" s="1189" t="str">
        <f>IF($V76="OUI",COUNTIF($V$10:V76,"OUI"),"")</f>
        <v/>
      </c>
      <c r="AA76" s="1188" t="str">
        <f>IF($V76="OUI",COUNTIFS($R$10:R76,$R76,$V$10:V76,"OUI"),"")</f>
        <v/>
      </c>
      <c r="AB76" s="1201" t="str">
        <f>IF(AND($V76="OUI",$AA76=1),$R76,"")</f>
        <v/>
      </c>
    </row>
    <row r="77" spans="1:28" ht="42" customHeight="1" x14ac:dyDescent="0.25">
      <c r="A77" s="1209"/>
      <c r="B77" s="1238" t="s">
        <v>2375</v>
      </c>
      <c r="C77" s="1248" t="s">
        <v>2398</v>
      </c>
      <c r="D77" s="1248" t="s">
        <v>1720</v>
      </c>
      <c r="E77" s="1248" t="s">
        <v>170</v>
      </c>
      <c r="F77" s="1247" t="str">
        <f>IF($C$4="","",IF(ISNUMBER(SEARCH(" "&amp;LOWER(C77)&amp;" "," "&amp;$C$5&amp;" ")),"OUI",""))</f>
        <v/>
      </c>
      <c r="G77" s="1244" t="s">
        <v>2399</v>
      </c>
      <c r="H77" s="1243" t="s">
        <v>2398</v>
      </c>
      <c r="I77" s="1204"/>
      <c r="J77" s="1203"/>
      <c r="K77" s="1203"/>
      <c r="L77" s="1203"/>
      <c r="M77" s="1203"/>
      <c r="N77" s="1203"/>
      <c r="O77" s="1202"/>
      <c r="Q77" s="993"/>
      <c r="R77" s="1196" t="s">
        <v>3657</v>
      </c>
      <c r="S77" s="58" t="s">
        <v>3700</v>
      </c>
      <c r="T77" s="58" t="s">
        <v>2376</v>
      </c>
      <c r="U77" s="1195">
        <v>1</v>
      </c>
      <c r="V77" s="58" t="str">
        <f>IF($T77="","",IF(ISNUMBER(SEARCH(" "&amp;$T77&amp;" "," "&amp;$J$4&amp;" ")),"OUI",""))</f>
        <v>OUI</v>
      </c>
      <c r="W77" s="1195">
        <f>IF($V77="OUI",$U77,0)</f>
        <v>1</v>
      </c>
      <c r="X77" s="58" t="s">
        <v>3865</v>
      </c>
      <c r="Y77" s="1194" t="s">
        <v>3866</v>
      </c>
      <c r="Z77" s="1189">
        <f>IF($V77="OUI",COUNTIF($V$10:V77,"OUI"),"")</f>
        <v>8</v>
      </c>
      <c r="AA77" s="1188">
        <f>IF($V77="OUI",COUNTIFS($R$10:R77,$R77,$V$10:V77,"OUI"),"")</f>
        <v>1</v>
      </c>
      <c r="AB77" s="1201" t="str">
        <f>IF(AND($V77="OUI",$AA77=1),$R77,"")</f>
        <v>PROTEINES</v>
      </c>
    </row>
    <row r="78" spans="1:28" ht="42" customHeight="1" x14ac:dyDescent="0.25">
      <c r="A78" s="1209"/>
      <c r="B78" s="1238" t="s">
        <v>2375</v>
      </c>
      <c r="C78" s="1248" t="s">
        <v>2400</v>
      </c>
      <c r="D78" s="1248" t="s">
        <v>1720</v>
      </c>
      <c r="E78" s="1248" t="s">
        <v>170</v>
      </c>
      <c r="F78" s="1247" t="str">
        <f>IF($C$4="","",IF(ISNUMBER(SEARCH(" "&amp;LOWER(C78)&amp;" "," "&amp;$C$5&amp;" ")),"OUI",""))</f>
        <v/>
      </c>
      <c r="G78" s="1244" t="s">
        <v>2401</v>
      </c>
      <c r="H78" s="1243" t="s">
        <v>2400</v>
      </c>
      <c r="I78" s="1204"/>
      <c r="J78" s="1203"/>
      <c r="K78" s="1203"/>
      <c r="L78" s="1203"/>
      <c r="M78" s="1203"/>
      <c r="N78" s="1203"/>
      <c r="O78" s="1202"/>
      <c r="Q78" s="993"/>
      <c r="R78" s="1196" t="s">
        <v>3657</v>
      </c>
      <c r="S78" s="58" t="s">
        <v>3700</v>
      </c>
      <c r="T78" s="58" t="s">
        <v>2006</v>
      </c>
      <c r="U78" s="1195">
        <v>1</v>
      </c>
      <c r="V78" s="58" t="str">
        <f>IF($T78="","",IF(ISNUMBER(SEARCH(" "&amp;$T78&amp;" "," "&amp;$J$4&amp;" ")),"OUI",""))</f>
        <v/>
      </c>
      <c r="W78" s="1195">
        <f>IF($V78="OUI",$U78,0)</f>
        <v>0</v>
      </c>
      <c r="X78" s="58" t="s">
        <v>3867</v>
      </c>
      <c r="Y78" s="1194" t="s">
        <v>3868</v>
      </c>
      <c r="Z78" s="1189" t="str">
        <f>IF($V78="OUI",COUNTIF($V$10:V78,"OUI"),"")</f>
        <v/>
      </c>
      <c r="AA78" s="1188" t="str">
        <f>IF($V78="OUI",COUNTIFS($R$10:R78,$R78,$V$10:V78,"OUI"),"")</f>
        <v/>
      </c>
      <c r="AB78" s="1201" t="str">
        <f>IF(AND($V78="OUI",$AA78=1),$R78,"")</f>
        <v/>
      </c>
    </row>
    <row r="79" spans="1:28" ht="42" customHeight="1" x14ac:dyDescent="0.25">
      <c r="A79" s="1209"/>
      <c r="B79" s="1238" t="s">
        <v>2375</v>
      </c>
      <c r="C79" s="1248" t="s">
        <v>2402</v>
      </c>
      <c r="D79" s="1248" t="s">
        <v>1720</v>
      </c>
      <c r="E79" s="1248" t="s">
        <v>170</v>
      </c>
      <c r="F79" s="1247" t="str">
        <f>IF($C$4="","",IF(ISNUMBER(SEARCH(" "&amp;LOWER(C79)&amp;" "," "&amp;$C$5&amp;" ")),"OUI",""))</f>
        <v/>
      </c>
      <c r="G79" s="1244" t="s">
        <v>2403</v>
      </c>
      <c r="H79" s="1243" t="s">
        <v>2402</v>
      </c>
      <c r="I79" s="1204"/>
      <c r="J79" s="1203"/>
      <c r="K79" s="1203"/>
      <c r="L79" s="1203"/>
      <c r="M79" s="1203"/>
      <c r="N79" s="1203"/>
      <c r="O79" s="1202"/>
      <c r="Q79" s="993"/>
      <c r="R79" s="1196" t="s">
        <v>3657</v>
      </c>
      <c r="S79" s="58" t="s">
        <v>3700</v>
      </c>
      <c r="T79" s="58" t="s">
        <v>398</v>
      </c>
      <c r="U79" s="1195">
        <v>1</v>
      </c>
      <c r="V79" s="58" t="str">
        <f>IF($T79="","",IF(ISNUMBER(SEARCH(" "&amp;$T79&amp;" "," "&amp;$J$4&amp;" ")),"OUI",""))</f>
        <v/>
      </c>
      <c r="W79" s="1195">
        <f>IF($V79="OUI",$U79,0)</f>
        <v>0</v>
      </c>
      <c r="X79" s="58" t="s">
        <v>3869</v>
      </c>
      <c r="Y79" s="1194" t="s">
        <v>3870</v>
      </c>
      <c r="Z79" s="1189" t="str">
        <f>IF($V79="OUI",COUNTIF($V$10:V79,"OUI"),"")</f>
        <v/>
      </c>
      <c r="AA79" s="1188" t="str">
        <f>IF($V79="OUI",COUNTIFS($R$10:R79,$R79,$V$10:V79,"OUI"),"")</f>
        <v/>
      </c>
      <c r="AB79" s="1201" t="str">
        <f>IF(AND($V79="OUI",$AA79=1),$R79,"")</f>
        <v/>
      </c>
    </row>
    <row r="80" spans="1:28" ht="42" customHeight="1" x14ac:dyDescent="0.25">
      <c r="A80" s="1209"/>
      <c r="B80" s="1238" t="s">
        <v>2375</v>
      </c>
      <c r="C80" s="1248" t="s">
        <v>1677</v>
      </c>
      <c r="D80" s="1248" t="s">
        <v>2404</v>
      </c>
      <c r="E80" s="1248" t="s">
        <v>92</v>
      </c>
      <c r="F80" s="1247" t="str">
        <f>IF($C$4="","",IF(ISNUMBER(SEARCH(" "&amp;LOWER(C80)&amp;" "," "&amp;$C$5&amp;" ")),"OUI",""))</f>
        <v/>
      </c>
      <c r="G80" s="1244" t="s">
        <v>2405</v>
      </c>
      <c r="H80" s="1243" t="s">
        <v>1677</v>
      </c>
      <c r="I80" s="1204"/>
      <c r="J80" s="1203"/>
      <c r="K80" s="1203"/>
      <c r="L80" s="1203"/>
      <c r="M80" s="1203"/>
      <c r="N80" s="1203"/>
      <c r="O80" s="1202"/>
      <c r="Q80" s="993"/>
      <c r="R80" s="1196" t="s">
        <v>3657</v>
      </c>
      <c r="S80" s="58" t="s">
        <v>3700</v>
      </c>
      <c r="T80" s="58" t="s">
        <v>2007</v>
      </c>
      <c r="U80" s="1195">
        <v>1</v>
      </c>
      <c r="V80" s="58" t="str">
        <f>IF($T80="","",IF(ISNUMBER(SEARCH(" "&amp;$T80&amp;" "," "&amp;$J$4&amp;" ")),"OUI",""))</f>
        <v/>
      </c>
      <c r="W80" s="1195">
        <f>IF($V80="OUI",$U80,0)</f>
        <v>0</v>
      </c>
      <c r="X80" s="58" t="s">
        <v>3871</v>
      </c>
      <c r="Y80" s="1194" t="s">
        <v>3870</v>
      </c>
      <c r="Z80" s="1189" t="str">
        <f>IF($V80="OUI",COUNTIF($V$10:V80,"OUI"),"")</f>
        <v/>
      </c>
      <c r="AA80" s="1188" t="str">
        <f>IF($V80="OUI",COUNTIFS($R$10:R80,$R80,$V$10:V80,"OUI"),"")</f>
        <v/>
      </c>
      <c r="AB80" s="1201" t="str">
        <f>IF(AND($V80="OUI",$AA80=1),$R80,"")</f>
        <v/>
      </c>
    </row>
    <row r="81" spans="1:28" ht="42" customHeight="1" thickBot="1" x14ac:dyDescent="0.3">
      <c r="A81" s="1209"/>
      <c r="B81" s="1234" t="s">
        <v>2375</v>
      </c>
      <c r="C81" s="1246" t="s">
        <v>2406</v>
      </c>
      <c r="D81" s="1246" t="s">
        <v>2404</v>
      </c>
      <c r="E81" s="1246" t="s">
        <v>92</v>
      </c>
      <c r="F81" s="1245" t="str">
        <f>IF($C$4="","",IF(ISNUMBER(SEARCH(" "&amp;LOWER(C81)&amp;" "," "&amp;$C$5&amp;" ")),"OUI",""))</f>
        <v/>
      </c>
      <c r="G81" s="1244" t="s">
        <v>2407</v>
      </c>
      <c r="H81" s="1243" t="s">
        <v>2406</v>
      </c>
      <c r="I81" s="1204"/>
      <c r="J81" s="1203"/>
      <c r="K81" s="1203"/>
      <c r="L81" s="1203"/>
      <c r="M81" s="1203"/>
      <c r="N81" s="1203"/>
      <c r="O81" s="1202"/>
      <c r="Q81" s="993"/>
      <c r="R81" s="1196" t="s">
        <v>3657</v>
      </c>
      <c r="S81" s="58" t="s">
        <v>3700</v>
      </c>
      <c r="T81" s="58" t="s">
        <v>410</v>
      </c>
      <c r="U81" s="1195">
        <v>1</v>
      </c>
      <c r="V81" s="58" t="str">
        <f>IF($T81="","",IF(ISNUMBER(SEARCH(" "&amp;$T81&amp;" "," "&amp;$J$4&amp;" ")),"OUI",""))</f>
        <v>OUI</v>
      </c>
      <c r="W81" s="1195">
        <f>IF($V81="OUI",$U81,0)</f>
        <v>1</v>
      </c>
      <c r="X81" s="58" t="s">
        <v>3872</v>
      </c>
      <c r="Y81" s="1194" t="s">
        <v>3873</v>
      </c>
      <c r="Z81" s="1189">
        <f>IF($V81="OUI",COUNTIF($V$10:V81,"OUI"),"")</f>
        <v>9</v>
      </c>
      <c r="AA81" s="1188">
        <f>IF($V81="OUI",COUNTIFS($R$10:R81,$R81,$V$10:V81,"OUI"),"")</f>
        <v>2</v>
      </c>
      <c r="AB81" s="1201" t="str">
        <f>IF(AND($V81="OUI",$AA81=1),$R81,"")</f>
        <v/>
      </c>
    </row>
    <row r="82" spans="1:28" ht="42" customHeight="1" x14ac:dyDescent="0.25">
      <c r="A82" s="1209"/>
      <c r="B82" s="1225"/>
      <c r="C82" s="1224"/>
      <c r="D82" s="1224"/>
      <c r="E82" s="1224"/>
      <c r="F82" s="1224"/>
      <c r="G82" s="1224"/>
      <c r="H82" s="1223"/>
      <c r="I82" s="1204"/>
      <c r="J82" s="1203"/>
      <c r="K82" s="1203"/>
      <c r="L82" s="1203"/>
      <c r="M82" s="1203"/>
      <c r="N82" s="1203"/>
      <c r="O82" s="1202"/>
      <c r="Q82" s="993"/>
      <c r="R82" s="1196" t="s">
        <v>3657</v>
      </c>
      <c r="S82" s="58" t="s">
        <v>3700</v>
      </c>
      <c r="T82" s="58" t="s">
        <v>3874</v>
      </c>
      <c r="U82" s="1195">
        <v>1</v>
      </c>
      <c r="V82" s="58" t="str">
        <f>IF($T82="","",IF(ISNUMBER(SEARCH(" "&amp;$T82&amp;" "," "&amp;$J$4&amp;" ")),"OUI",""))</f>
        <v/>
      </c>
      <c r="W82" s="1195">
        <f>IF($V82="OUI",$U82,0)</f>
        <v>0</v>
      </c>
      <c r="X82" s="58" t="s">
        <v>3875</v>
      </c>
      <c r="Y82" s="1194" t="s">
        <v>3876</v>
      </c>
      <c r="Z82" s="1189" t="str">
        <f>IF($V82="OUI",COUNTIF($V$10:V82,"OUI"),"")</f>
        <v/>
      </c>
      <c r="AA82" s="1188" t="str">
        <f>IF($V82="OUI",COUNTIFS($R$10:R82,$R82,$V$10:V82,"OUI"),"")</f>
        <v/>
      </c>
      <c r="AB82" s="1201" t="str">
        <f>IF(AND($V82="OUI",$AA82=1),$R82,"")</f>
        <v/>
      </c>
    </row>
    <row r="83" spans="1:28" ht="42" customHeight="1" thickBot="1" x14ac:dyDescent="0.3">
      <c r="A83" s="1209"/>
      <c r="B83" s="1222"/>
      <c r="C83" s="1221"/>
      <c r="D83" s="1221"/>
      <c r="E83" s="1221"/>
      <c r="F83" s="1221"/>
      <c r="G83" s="1221"/>
      <c r="H83" s="1220"/>
      <c r="I83" s="1204"/>
      <c r="J83" s="1203"/>
      <c r="K83" s="1203"/>
      <c r="L83" s="1203"/>
      <c r="M83" s="1203"/>
      <c r="N83" s="1203"/>
      <c r="O83" s="1202"/>
      <c r="Q83" s="993"/>
      <c r="R83" s="1196" t="s">
        <v>3657</v>
      </c>
      <c r="S83" s="58" t="s">
        <v>3700</v>
      </c>
      <c r="T83" s="58" t="s">
        <v>1644</v>
      </c>
      <c r="U83" s="1195">
        <v>1</v>
      </c>
      <c r="V83" s="58" t="str">
        <f>IF($T83="","",IF(ISNUMBER(SEARCH(" "&amp;$T83&amp;" "," "&amp;$J$4&amp;" ")),"OUI",""))</f>
        <v>OUI</v>
      </c>
      <c r="W83" s="1195">
        <f>IF($V83="OUI",$U83,0)</f>
        <v>1</v>
      </c>
      <c r="X83" s="58" t="s">
        <v>3877</v>
      </c>
      <c r="Y83" s="1194" t="s">
        <v>3878</v>
      </c>
      <c r="Z83" s="1189">
        <f>IF($V83="OUI",COUNTIF($V$10:V83,"OUI"),"")</f>
        <v>10</v>
      </c>
      <c r="AA83" s="1188">
        <f>IF($V83="OUI",COUNTIFS($R$10:R83,$R83,$V$10:V83,"OUI"),"")</f>
        <v>3</v>
      </c>
      <c r="AB83" s="1201" t="str">
        <f>IF(AND($V83="OUI",$AA83=1),$R83,"")</f>
        <v/>
      </c>
    </row>
    <row r="84" spans="1:28" ht="26.1" customHeight="1" x14ac:dyDescent="0.25">
      <c r="A84" s="1209"/>
      <c r="B84" s="1219" t="s">
        <v>4400</v>
      </c>
      <c r="C84" s="1219"/>
      <c r="D84" s="1219"/>
      <c r="E84" s="1219"/>
      <c r="F84" s="1219"/>
      <c r="G84" s="1219"/>
      <c r="H84" s="1219"/>
      <c r="I84" s="1204"/>
      <c r="J84" s="1203"/>
      <c r="K84" s="1203"/>
      <c r="L84" s="1203"/>
      <c r="M84" s="1203"/>
      <c r="N84" s="1203"/>
      <c r="O84" s="1202"/>
      <c r="Q84" s="993"/>
      <c r="R84" s="1196" t="s">
        <v>3657</v>
      </c>
      <c r="S84" s="58" t="s">
        <v>3700</v>
      </c>
      <c r="T84" s="58" t="s">
        <v>3879</v>
      </c>
      <c r="U84" s="1195">
        <v>1</v>
      </c>
      <c r="V84" s="58" t="str">
        <f>IF($T84="","",IF(ISNUMBER(SEARCH(" "&amp;$T84&amp;" "," "&amp;$J$4&amp;" ")),"OUI",""))</f>
        <v>OUI</v>
      </c>
      <c r="W84" s="1195">
        <f>IF($V84="OUI",$U84,0)</f>
        <v>1</v>
      </c>
      <c r="X84" s="58" t="s">
        <v>3880</v>
      </c>
      <c r="Y84" s="1194" t="s">
        <v>3881</v>
      </c>
      <c r="Z84" s="1189">
        <f>IF($V84="OUI",COUNTIF($V$10:V84,"OUI"),"")</f>
        <v>11</v>
      </c>
      <c r="AA84" s="1188">
        <f>IF($V84="OUI",COUNTIFS($R$10:R84,$R84,$V$10:V84,"OUI"),"")</f>
        <v>4</v>
      </c>
      <c r="AB84" s="1201" t="str">
        <f>IF(AND($V84="OUI",$AA84=1),$R84,"")</f>
        <v/>
      </c>
    </row>
    <row r="85" spans="1:28" ht="42" customHeight="1" x14ac:dyDescent="0.25">
      <c r="A85" s="1209"/>
      <c r="B85" s="1242" t="s">
        <v>2408</v>
      </c>
      <c r="C85" s="1241" t="s">
        <v>2409</v>
      </c>
      <c r="D85" s="1241" t="s">
        <v>2410</v>
      </c>
      <c r="E85" s="1241" t="s">
        <v>2411</v>
      </c>
      <c r="F85" s="1241" t="s">
        <v>2162</v>
      </c>
      <c r="G85" s="1241" t="s">
        <v>2168</v>
      </c>
      <c r="H85" s="1241"/>
      <c r="I85" s="1204"/>
      <c r="J85" s="1203"/>
      <c r="K85" s="1203"/>
      <c r="L85" s="1203"/>
      <c r="M85" s="1203"/>
      <c r="N85" s="1203"/>
      <c r="O85" s="1202"/>
      <c r="Q85" s="993"/>
      <c r="R85" s="1196" t="s">
        <v>3657</v>
      </c>
      <c r="S85" s="58" t="s">
        <v>3700</v>
      </c>
      <c r="T85" s="58" t="s">
        <v>2385</v>
      </c>
      <c r="U85" s="1195">
        <v>1</v>
      </c>
      <c r="V85" s="58" t="str">
        <f>IF($T85="","",IF(ISNUMBER(SEARCH(" "&amp;$T85&amp;" "," "&amp;$J$4&amp;" ")),"OUI",""))</f>
        <v/>
      </c>
      <c r="W85" s="1195">
        <f>IF($V85="OUI",$U85,0)</f>
        <v>0</v>
      </c>
      <c r="X85" s="58" t="s">
        <v>3882</v>
      </c>
      <c r="Y85" s="1194" t="s">
        <v>3883</v>
      </c>
      <c r="Z85" s="1189" t="str">
        <f>IF($V85="OUI",COUNTIF($V$10:V85,"OUI"),"")</f>
        <v/>
      </c>
      <c r="AA85" s="1188" t="str">
        <f>IF($V85="OUI",COUNTIFS($R$10:R85,$R85,$V$10:V85,"OUI"),"")</f>
        <v/>
      </c>
      <c r="AB85" s="1201" t="str">
        <f>IF(AND($V85="OUI",$AA85=1),$R85,"")</f>
        <v/>
      </c>
    </row>
    <row r="86" spans="1:28" ht="42" customHeight="1" x14ac:dyDescent="0.25">
      <c r="A86" s="1209"/>
      <c r="B86" s="1238" t="s">
        <v>2234</v>
      </c>
      <c r="C86" s="1235" t="s">
        <v>2412</v>
      </c>
      <c r="D86" s="1240">
        <f>COUNTIFS($B$9:$B$81,B86,$F$9:$F$81,"OUI")</f>
        <v>2</v>
      </c>
      <c r="E86" s="1239" t="str">
        <f>IF(D86&gt;0,"OUI","")</f>
        <v>OUI</v>
      </c>
      <c r="F86" s="1235" t="str">
        <f>IF(D86&gt;0,"Famille détectée","Non détectée")</f>
        <v>Famille détectée</v>
      </c>
      <c r="G86" s="1211" t="s">
        <v>2413</v>
      </c>
      <c r="H86" s="1210"/>
      <c r="I86" s="1204"/>
      <c r="J86" s="1203"/>
      <c r="K86" s="1203"/>
      <c r="L86" s="1203"/>
      <c r="M86" s="1203"/>
      <c r="N86" s="1203"/>
      <c r="O86" s="1202"/>
      <c r="Q86" s="993"/>
      <c r="R86" s="1196" t="s">
        <v>3657</v>
      </c>
      <c r="S86" s="58" t="s">
        <v>3700</v>
      </c>
      <c r="T86" s="58" t="s">
        <v>468</v>
      </c>
      <c r="U86" s="1195">
        <v>1</v>
      </c>
      <c r="V86" s="58" t="str">
        <f>IF($T86="","",IF(ISNUMBER(SEARCH(" "&amp;$T86&amp;" "," "&amp;$J$4&amp;" ")),"OUI",""))</f>
        <v/>
      </c>
      <c r="W86" s="1195">
        <f>IF($V86="OUI",$U86,0)</f>
        <v>0</v>
      </c>
      <c r="X86" s="58" t="s">
        <v>3884</v>
      </c>
      <c r="Y86" s="1194" t="s">
        <v>3885</v>
      </c>
      <c r="Z86" s="1189" t="str">
        <f>IF($V86="OUI",COUNTIF($V$10:V86,"OUI"),"")</f>
        <v/>
      </c>
      <c r="AA86" s="1188" t="str">
        <f>IF($V86="OUI",COUNTIFS($R$10:R86,$R86,$V$10:V86,"OUI"),"")</f>
        <v/>
      </c>
      <c r="AB86" s="1201" t="str">
        <f>IF(AND($V86="OUI",$AA86=1),$R86,"")</f>
        <v/>
      </c>
    </row>
    <row r="87" spans="1:28" ht="42" customHeight="1" x14ac:dyDescent="0.25">
      <c r="A87" s="1209"/>
      <c r="B87" s="1238" t="s">
        <v>2251</v>
      </c>
      <c r="C87" s="1235" t="s">
        <v>2414</v>
      </c>
      <c r="D87" s="1237">
        <f>COUNTIFS($B$9:$B$81,B87,$F$9:$F$81,"OUI")</f>
        <v>2</v>
      </c>
      <c r="E87" s="1236" t="str">
        <f>IF(D87&gt;0,"OUI","")</f>
        <v>OUI</v>
      </c>
      <c r="F87" s="1235" t="str">
        <f>IF(D87&gt;0,"Famille détectée","Non détectée")</f>
        <v>Famille détectée</v>
      </c>
      <c r="G87" s="1211" t="s">
        <v>2415</v>
      </c>
      <c r="H87" s="1210"/>
      <c r="I87" s="1204"/>
      <c r="J87" s="1203"/>
      <c r="K87" s="1203"/>
      <c r="L87" s="1203"/>
      <c r="M87" s="1203"/>
      <c r="N87" s="1203"/>
      <c r="O87" s="1202"/>
      <c r="Q87" s="993"/>
      <c r="R87" s="1196" t="s">
        <v>3657</v>
      </c>
      <c r="S87" s="58" t="s">
        <v>3700</v>
      </c>
      <c r="T87" s="58" t="s">
        <v>2398</v>
      </c>
      <c r="U87" s="1195">
        <v>1</v>
      </c>
      <c r="V87" s="58" t="str">
        <f>IF($T87="","",IF(ISNUMBER(SEARCH(" "&amp;$T87&amp;" "," "&amp;$J$4&amp;" ")),"OUI",""))</f>
        <v/>
      </c>
      <c r="W87" s="1195">
        <f>IF($V87="OUI",$U87,0)</f>
        <v>0</v>
      </c>
      <c r="X87" s="58" t="s">
        <v>3886</v>
      </c>
      <c r="Y87" s="1194" t="s">
        <v>3887</v>
      </c>
      <c r="Z87" s="1189" t="str">
        <f>IF($V87="OUI",COUNTIF($V$10:V87,"OUI"),"")</f>
        <v/>
      </c>
      <c r="AA87" s="1188" t="str">
        <f>IF($V87="OUI",COUNTIFS($R$10:R87,$R87,$V$10:V87,"OUI"),"")</f>
        <v/>
      </c>
      <c r="AB87" s="1201" t="str">
        <f>IF(AND($V87="OUI",$AA87=1),$R87,"")</f>
        <v/>
      </c>
    </row>
    <row r="88" spans="1:28" ht="42" customHeight="1" x14ac:dyDescent="0.25">
      <c r="A88" s="1209"/>
      <c r="B88" s="1238" t="s">
        <v>2262</v>
      </c>
      <c r="C88" s="1235" t="s">
        <v>2416</v>
      </c>
      <c r="D88" s="1237">
        <f>COUNTIFS($B$9:$B$81,B88,$F$9:$F$81,"OUI")</f>
        <v>2</v>
      </c>
      <c r="E88" s="1236" t="str">
        <f>IF(D88&gt;0,"OUI","")</f>
        <v>OUI</v>
      </c>
      <c r="F88" s="1235" t="str">
        <f>IF(D88&gt;0,"Famille détectée","Non détectée")</f>
        <v>Famille détectée</v>
      </c>
      <c r="G88" s="1211" t="s">
        <v>2417</v>
      </c>
      <c r="H88" s="1210"/>
      <c r="I88" s="1204"/>
      <c r="J88" s="1203"/>
      <c r="K88" s="1203"/>
      <c r="L88" s="1203"/>
      <c r="M88" s="1203"/>
      <c r="N88" s="1203"/>
      <c r="O88" s="1202"/>
      <c r="Q88" s="993"/>
      <c r="R88" s="1196" t="s">
        <v>3657</v>
      </c>
      <c r="S88" s="58" t="s">
        <v>3700</v>
      </c>
      <c r="T88" s="58" t="s">
        <v>2400</v>
      </c>
      <c r="U88" s="1195">
        <v>1</v>
      </c>
      <c r="V88" s="58" t="str">
        <f>IF($T88="","",IF(ISNUMBER(SEARCH(" "&amp;$T88&amp;" "," "&amp;$J$4&amp;" ")),"OUI",""))</f>
        <v/>
      </c>
      <c r="W88" s="1195">
        <f>IF($V88="OUI",$U88,0)</f>
        <v>0</v>
      </c>
      <c r="X88" s="58" t="s">
        <v>3888</v>
      </c>
      <c r="Y88" s="1194" t="s">
        <v>3889</v>
      </c>
      <c r="Z88" s="1189" t="str">
        <f>IF($V88="OUI",COUNTIF($V$10:V88,"OUI"),"")</f>
        <v/>
      </c>
      <c r="AA88" s="1188" t="str">
        <f>IF($V88="OUI",COUNTIFS($R$10:R88,$R88,$V$10:V88,"OUI"),"")</f>
        <v/>
      </c>
      <c r="AB88" s="1201" t="str">
        <f>IF(AND($V88="OUI",$AA88=1),$R88,"")</f>
        <v/>
      </c>
    </row>
    <row r="89" spans="1:28" ht="42" customHeight="1" x14ac:dyDescent="0.25">
      <c r="A89" s="1209"/>
      <c r="B89" s="1238" t="s">
        <v>2278</v>
      </c>
      <c r="C89" s="1235" t="s">
        <v>2418</v>
      </c>
      <c r="D89" s="1237">
        <f>COUNTIFS($B$9:$B$81,B89,$F$9:$F$81,"OUI")</f>
        <v>3</v>
      </c>
      <c r="E89" s="1236" t="str">
        <f>IF(D89&gt;0,"OUI","")</f>
        <v>OUI</v>
      </c>
      <c r="F89" s="1235" t="str">
        <f>IF(D89&gt;0,"Famille détectée","Non détectée")</f>
        <v>Famille détectée</v>
      </c>
      <c r="G89" s="1211" t="s">
        <v>2419</v>
      </c>
      <c r="H89" s="1210"/>
      <c r="I89" s="1204"/>
      <c r="J89" s="1203"/>
      <c r="K89" s="1203"/>
      <c r="L89" s="1203"/>
      <c r="M89" s="1203"/>
      <c r="N89" s="1203"/>
      <c r="O89" s="1202"/>
      <c r="Q89" s="993"/>
      <c r="R89" s="1196" t="s">
        <v>3657</v>
      </c>
      <c r="S89" s="58" t="s">
        <v>3700</v>
      </c>
      <c r="T89" s="58" t="s">
        <v>2003</v>
      </c>
      <c r="U89" s="1195">
        <v>1</v>
      </c>
      <c r="V89" s="58" t="str">
        <f>IF($T89="","",IF(ISNUMBER(SEARCH(" "&amp;$T89&amp;" "," "&amp;$J$4&amp;" ")),"OUI",""))</f>
        <v/>
      </c>
      <c r="W89" s="1195">
        <f>IF($V89="OUI",$U89,0)</f>
        <v>0</v>
      </c>
      <c r="X89" s="58" t="s">
        <v>3890</v>
      </c>
      <c r="Y89" s="1194" t="s">
        <v>3891</v>
      </c>
      <c r="Z89" s="1189" t="str">
        <f>IF($V89="OUI",COUNTIF($V$10:V89,"OUI"),"")</f>
        <v/>
      </c>
      <c r="AA89" s="1188" t="str">
        <f>IF($V89="OUI",COUNTIFS($R$10:R89,$R89,$V$10:V89,"OUI"),"")</f>
        <v/>
      </c>
      <c r="AB89" s="1201" t="str">
        <f>IF(AND($V89="OUI",$AA89=1),$R89,"")</f>
        <v/>
      </c>
    </row>
    <row r="90" spans="1:28" ht="42" customHeight="1" x14ac:dyDescent="0.25">
      <c r="A90" s="1209"/>
      <c r="B90" s="1238" t="s">
        <v>572</v>
      </c>
      <c r="C90" s="1235" t="s">
        <v>2420</v>
      </c>
      <c r="D90" s="1237">
        <f>COUNTIFS($B$9:$B$81,B90,$F$9:$F$81,"OUI")</f>
        <v>1</v>
      </c>
      <c r="E90" s="1236" t="str">
        <f>IF(D90&gt;0,"OUI","")</f>
        <v>OUI</v>
      </c>
      <c r="F90" s="1235" t="str">
        <f>IF(D90&gt;0,"Famille détectée","Non détectée")</f>
        <v>Famille détectée</v>
      </c>
      <c r="G90" s="1211" t="s">
        <v>2421</v>
      </c>
      <c r="H90" s="1210"/>
      <c r="I90" s="1204"/>
      <c r="J90" s="1203"/>
      <c r="K90" s="1203"/>
      <c r="L90" s="1203"/>
      <c r="M90" s="1203"/>
      <c r="N90" s="1203"/>
      <c r="O90" s="1202"/>
      <c r="Q90" s="993"/>
      <c r="R90" s="1196" t="s">
        <v>3657</v>
      </c>
      <c r="S90" s="58" t="s">
        <v>3700</v>
      </c>
      <c r="T90" s="58" t="s">
        <v>2004</v>
      </c>
      <c r="U90" s="1195">
        <v>1</v>
      </c>
      <c r="V90" s="58" t="str">
        <f>IF($T90="","",IF(ISNUMBER(SEARCH(" "&amp;$T90&amp;" "," "&amp;$J$4&amp;" ")),"OUI",""))</f>
        <v/>
      </c>
      <c r="W90" s="1195">
        <f>IF($V90="OUI",$U90,0)</f>
        <v>0</v>
      </c>
      <c r="X90" s="58" t="s">
        <v>3892</v>
      </c>
      <c r="Y90" s="1194" t="s">
        <v>3893</v>
      </c>
      <c r="Z90" s="1189" t="str">
        <f>IF($V90="OUI",COUNTIF($V$10:V90,"OUI"),"")</f>
        <v/>
      </c>
      <c r="AA90" s="1188" t="str">
        <f>IF($V90="OUI",COUNTIFS($R$10:R90,$R90,$V$10:V90,"OUI"),"")</f>
        <v/>
      </c>
      <c r="AB90" s="1201" t="str">
        <f>IF(AND($V90="OUI",$AA90=1),$R90,"")</f>
        <v/>
      </c>
    </row>
    <row r="91" spans="1:28" ht="42" customHeight="1" x14ac:dyDescent="0.25">
      <c r="A91" s="1209"/>
      <c r="B91" s="1238" t="s">
        <v>2369</v>
      </c>
      <c r="C91" s="1235" t="s">
        <v>2422</v>
      </c>
      <c r="D91" s="1237">
        <f>COUNTIFS($B$9:$B$81,B91,$F$9:$F$81,"OUI")</f>
        <v>2</v>
      </c>
      <c r="E91" s="1236" t="str">
        <f>IF(D91&gt;0,"OUI","")</f>
        <v>OUI</v>
      </c>
      <c r="F91" s="1235" t="str">
        <f>IF(D91&gt;0,"Famille détectée","Non détectée")</f>
        <v>Famille détectée</v>
      </c>
      <c r="G91" s="1211" t="s">
        <v>2423</v>
      </c>
      <c r="H91" s="1210"/>
      <c r="I91" s="1204"/>
      <c r="J91" s="1203"/>
      <c r="K91" s="1203"/>
      <c r="L91" s="1203"/>
      <c r="M91" s="1203"/>
      <c r="N91" s="1203"/>
      <c r="O91" s="1202"/>
      <c r="Q91" s="993"/>
      <c r="R91" s="1196" t="s">
        <v>2251</v>
      </c>
      <c r="S91" s="58" t="s">
        <v>3700</v>
      </c>
      <c r="T91" s="58" t="s">
        <v>2193</v>
      </c>
      <c r="U91" s="1195">
        <v>2</v>
      </c>
      <c r="V91" s="58" t="str">
        <f>IF($T91="","",IF(ISNUMBER(SEARCH(" "&amp;$T91&amp;" "," "&amp;$J$4&amp;" ")),"OUI",""))</f>
        <v>OUI</v>
      </c>
      <c r="W91" s="1195">
        <f>IF($V91="OUI",$U91,0)</f>
        <v>2</v>
      </c>
      <c r="X91" s="58" t="s">
        <v>3894</v>
      </c>
      <c r="Y91" s="1194" t="s">
        <v>3895</v>
      </c>
      <c r="Z91" s="1189">
        <f>IF($V91="OUI",COUNTIF($V$10:V91,"OUI"),"")</f>
        <v>12</v>
      </c>
      <c r="AA91" s="1188">
        <f>IF($V91="OUI",COUNTIFS($R$10:R91,$R91,$V$10:V91,"OUI"),"")</f>
        <v>1</v>
      </c>
      <c r="AB91" s="1201" t="str">
        <f>IF(AND($V91="OUI",$AA91=1),$R91,"")</f>
        <v>ECONOMIE</v>
      </c>
    </row>
    <row r="92" spans="1:28" ht="42" customHeight="1" thickBot="1" x14ac:dyDescent="0.3">
      <c r="A92" s="1209"/>
      <c r="B92" s="1234" t="s">
        <v>2375</v>
      </c>
      <c r="C92" s="1231" t="s">
        <v>2424</v>
      </c>
      <c r="D92" s="1233">
        <f>COUNTIFS($B$9:$B$81,B92,$F$9:$F$81,"OUI")</f>
        <v>3</v>
      </c>
      <c r="E92" s="1232" t="str">
        <f>IF(D92&gt;0,"OUI","")</f>
        <v>OUI</v>
      </c>
      <c r="F92" s="1231" t="str">
        <f>IF(D92&gt;0,"Famille détectée","Non détectée")</f>
        <v>Famille détectée</v>
      </c>
      <c r="G92" s="1206" t="s">
        <v>2425</v>
      </c>
      <c r="H92" s="1205"/>
      <c r="I92" s="1204"/>
      <c r="J92" s="1203"/>
      <c r="K92" s="1203"/>
      <c r="L92" s="1203"/>
      <c r="M92" s="1203"/>
      <c r="N92" s="1203"/>
      <c r="O92" s="1202"/>
      <c r="Q92" s="993"/>
      <c r="R92" s="1196" t="s">
        <v>2251</v>
      </c>
      <c r="S92" s="58" t="s">
        <v>3700</v>
      </c>
      <c r="T92" s="58" t="s">
        <v>2255</v>
      </c>
      <c r="U92" s="1195">
        <v>1</v>
      </c>
      <c r="V92" s="58" t="str">
        <f>IF($T92="","",IF(ISNUMBER(SEARCH(" "&amp;$T92&amp;" "," "&amp;$J$4&amp;" ")),"OUI",""))</f>
        <v/>
      </c>
      <c r="W92" s="1195">
        <f>IF($V92="OUI",$U92,0)</f>
        <v>0</v>
      </c>
      <c r="X92" s="58" t="s">
        <v>3896</v>
      </c>
      <c r="Y92" s="1194" t="s">
        <v>3897</v>
      </c>
      <c r="Z92" s="1189" t="str">
        <f>IF($V92="OUI",COUNTIF($V$10:V92,"OUI"),"")</f>
        <v/>
      </c>
      <c r="AA92" s="1188" t="str">
        <f>IF($V92="OUI",COUNTIFS($R$10:R92,$R92,$V$10:V92,"OUI"),"")</f>
        <v/>
      </c>
      <c r="AB92" s="1201" t="str">
        <f>IF(AND($V92="OUI",$AA92=1),$R92,"")</f>
        <v/>
      </c>
    </row>
    <row r="93" spans="1:28" ht="42" customHeight="1" x14ac:dyDescent="0.25">
      <c r="A93" s="1209"/>
      <c r="B93" s="1230"/>
      <c r="C93" s="1230"/>
      <c r="D93" s="1230"/>
      <c r="E93" s="1230"/>
      <c r="F93" s="1230"/>
      <c r="G93" s="1230"/>
      <c r="H93" s="1230"/>
      <c r="I93" s="1204"/>
      <c r="J93" s="1203"/>
      <c r="K93" s="1203"/>
      <c r="L93" s="1203"/>
      <c r="M93" s="1203"/>
      <c r="N93" s="1203"/>
      <c r="O93" s="1202"/>
      <c r="Q93" s="993"/>
      <c r="R93" s="1196" t="s">
        <v>2251</v>
      </c>
      <c r="S93" s="58" t="s">
        <v>3700</v>
      </c>
      <c r="T93" s="58" t="s">
        <v>2025</v>
      </c>
      <c r="U93" s="1195">
        <v>1</v>
      </c>
      <c r="V93" s="58" t="str">
        <f>IF($T93="","",IF(ISNUMBER(SEARCH(" "&amp;$T93&amp;" "," "&amp;$J$4&amp;" ")),"OUI",""))</f>
        <v/>
      </c>
      <c r="W93" s="1195">
        <f>IF($V93="OUI",$U93,0)</f>
        <v>0</v>
      </c>
      <c r="X93" s="58" t="s">
        <v>3898</v>
      </c>
      <c r="Y93" s="1194" t="s">
        <v>3899</v>
      </c>
      <c r="Z93" s="1189" t="str">
        <f>IF($V93="OUI",COUNTIF($V$10:V93,"OUI"),"")</f>
        <v/>
      </c>
      <c r="AA93" s="1188" t="str">
        <f>IF($V93="OUI",COUNTIFS($R$10:R93,$R93,$V$10:V93,"OUI"),"")</f>
        <v/>
      </c>
      <c r="AB93" s="1201" t="str">
        <f>IF(AND($V93="OUI",$AA93=1),$R93,"")</f>
        <v/>
      </c>
    </row>
    <row r="94" spans="1:28" ht="18" customHeight="1" thickBot="1" x14ac:dyDescent="0.3">
      <c r="A94" s="1209"/>
      <c r="B94" s="1229">
        <f ca="1">INDEX(CELL("largeur",B94),1,1)</f>
        <v>31</v>
      </c>
      <c r="C94" s="1229">
        <f ca="1">INDEX(CELL("largeur",C94),1,1)</f>
        <v>45</v>
      </c>
      <c r="D94" s="1229">
        <f ca="1">INDEX(CELL("largeur",D94),1,1)</f>
        <v>21</v>
      </c>
      <c r="E94" s="1229">
        <f ca="1">INDEX(CELL("largeur",E94),1,1)</f>
        <v>12</v>
      </c>
      <c r="F94" s="1229">
        <f ca="1">INDEX(CELL("largeur",F94),1,1)</f>
        <v>16</v>
      </c>
      <c r="G94" s="1229">
        <f ca="1">INDEX(CELL("largeur",G94),1,1)</f>
        <v>56</v>
      </c>
      <c r="H94" s="1229">
        <f ca="1">INDEX(CELL("largeur",H94),1,1)</f>
        <v>44</v>
      </c>
      <c r="I94" s="1204" t="s">
        <v>3493</v>
      </c>
      <c r="J94" s="1203"/>
      <c r="K94" s="1203"/>
      <c r="L94" s="1203"/>
      <c r="M94" s="1203"/>
      <c r="N94" s="1203"/>
      <c r="O94" s="1202"/>
      <c r="Q94" s="993"/>
      <c r="R94" s="1196" t="s">
        <v>2251</v>
      </c>
      <c r="S94" s="58" t="s">
        <v>3700</v>
      </c>
      <c r="T94" s="58" t="s">
        <v>3900</v>
      </c>
      <c r="U94" s="1195">
        <v>1</v>
      </c>
      <c r="V94" s="58" t="str">
        <f>IF($T94="","",IF(ISNUMBER(SEARCH(" "&amp;$T94&amp;" "," "&amp;$J$4&amp;" ")),"OUI",""))</f>
        <v/>
      </c>
      <c r="W94" s="1195">
        <f>IF($V94="OUI",$U94,0)</f>
        <v>0</v>
      </c>
      <c r="X94" s="58" t="s">
        <v>3901</v>
      </c>
      <c r="Y94" s="1194" t="s">
        <v>3902</v>
      </c>
      <c r="Z94" s="1189" t="str">
        <f>IF($V94="OUI",COUNTIF($V$10:V94,"OUI"),"")</f>
        <v/>
      </c>
      <c r="AA94" s="1188" t="str">
        <f>IF($V94="OUI",COUNTIFS($R$10:R94,$R94,$V$10:V94,"OUI"),"")</f>
        <v/>
      </c>
      <c r="AB94" s="1201" t="str">
        <f>IF(AND($V94="OUI",$AA94=1),$R94,"")</f>
        <v/>
      </c>
    </row>
    <row r="95" spans="1:28" ht="26.1" customHeight="1" x14ac:dyDescent="0.25">
      <c r="A95" s="1209"/>
      <c r="B95" s="1219" t="s">
        <v>4401</v>
      </c>
      <c r="C95" s="1219"/>
      <c r="D95" s="1219"/>
      <c r="E95" s="1219"/>
      <c r="F95" s="1219"/>
      <c r="G95" s="1219"/>
      <c r="H95" s="1219"/>
      <c r="I95" s="1204"/>
      <c r="J95" s="1203"/>
      <c r="K95" s="1203"/>
      <c r="L95" s="1203"/>
      <c r="M95" s="1203"/>
      <c r="N95" s="1203"/>
      <c r="O95" s="1202"/>
      <c r="Q95" s="993"/>
      <c r="R95" s="1196" t="s">
        <v>2251</v>
      </c>
      <c r="S95" s="58" t="s">
        <v>3700</v>
      </c>
      <c r="T95" s="58" t="s">
        <v>3903</v>
      </c>
      <c r="U95" s="1195">
        <v>1</v>
      </c>
      <c r="V95" s="58" t="str">
        <f>IF($T95="","",IF(ISNUMBER(SEARCH(" "&amp;$T95&amp;" "," "&amp;$J$4&amp;" ")),"OUI",""))</f>
        <v>OUI</v>
      </c>
      <c r="W95" s="1195">
        <f>IF($V95="OUI",$U95,0)</f>
        <v>1</v>
      </c>
      <c r="X95" s="58" t="s">
        <v>3904</v>
      </c>
      <c r="Y95" s="1194" t="s">
        <v>3905</v>
      </c>
      <c r="Z95" s="1189">
        <f>IF($V95="OUI",COUNTIF($V$10:V95,"OUI"),"")</f>
        <v>13</v>
      </c>
      <c r="AA95" s="1188">
        <f>IF($V95="OUI",COUNTIFS($R$10:R95,$R95,$V$10:V95,"OUI"),"")</f>
        <v>2</v>
      </c>
      <c r="AB95" s="1201" t="str">
        <f>IF(AND($V95="OUI",$AA95=1),$R95,"")</f>
        <v/>
      </c>
    </row>
    <row r="96" spans="1:28" ht="26.1" customHeight="1" x14ac:dyDescent="0.25">
      <c r="A96" s="1209"/>
      <c r="B96" s="1228" t="s">
        <v>2426</v>
      </c>
      <c r="C96" s="1228"/>
      <c r="D96" s="1228"/>
      <c r="E96" s="1228"/>
      <c r="F96" s="1228"/>
      <c r="G96" s="1228"/>
      <c r="H96" s="1228"/>
      <c r="I96" s="1204"/>
      <c r="J96" s="1203"/>
      <c r="K96" s="1203"/>
      <c r="L96" s="1203"/>
      <c r="M96" s="1203"/>
      <c r="N96" s="1203"/>
      <c r="O96" s="1202"/>
      <c r="Q96" s="993"/>
      <c r="R96" s="1196" t="s">
        <v>2251</v>
      </c>
      <c r="S96" s="58" t="s">
        <v>3700</v>
      </c>
      <c r="T96" s="58" t="s">
        <v>3906</v>
      </c>
      <c r="U96" s="1195">
        <v>2</v>
      </c>
      <c r="V96" s="58" t="str">
        <f>IF($T96="","",IF(ISNUMBER(SEARCH(" "&amp;$T96&amp;" "," "&amp;$J$4&amp;" ")),"OUI",""))</f>
        <v/>
      </c>
      <c r="W96" s="1195">
        <f>IF($V96="OUI",$U96,0)</f>
        <v>0</v>
      </c>
      <c r="X96" s="58" t="s">
        <v>3907</v>
      </c>
      <c r="Y96" s="1194" t="s">
        <v>3908</v>
      </c>
      <c r="Z96" s="1189" t="str">
        <f>IF($V96="OUI",COUNTIF($V$10:V96,"OUI"),"")</f>
        <v/>
      </c>
      <c r="AA96" s="1188" t="str">
        <f>IF($V96="OUI",COUNTIFS($R$10:R96,$R96,$V$10:V96,"OUI"),"")</f>
        <v/>
      </c>
      <c r="AB96" s="1201" t="str">
        <f>IF(AND($V96="OUI",$AA96=1),$R96,"")</f>
        <v/>
      </c>
    </row>
    <row r="97" spans="1:28" ht="38.1" customHeight="1" x14ac:dyDescent="0.25">
      <c r="A97" s="1209"/>
      <c r="B97" s="1227" t="s">
        <v>3544</v>
      </c>
      <c r="C97" s="1226" t="str">
        <f>IF($C$4="","Aucun texte à auditer.","Audit : "&amp;COUNTIF($F$9:$F$81,"OUI")&amp;" déclencheur(s) détecté(s).")</f>
        <v>Audit : 15 déclencheur(s) détecté(s).</v>
      </c>
      <c r="D97" s="1226"/>
      <c r="E97" s="1226"/>
      <c r="F97" s="1226"/>
      <c r="G97" s="1226"/>
      <c r="H97" s="1226"/>
      <c r="I97" s="1204"/>
      <c r="J97" s="1203"/>
      <c r="K97" s="1203"/>
      <c r="L97" s="1203"/>
      <c r="M97" s="1203"/>
      <c r="N97" s="1203"/>
      <c r="O97" s="1202"/>
      <c r="Q97" s="993"/>
      <c r="R97" s="1196" t="s">
        <v>2251</v>
      </c>
      <c r="S97" s="58" t="s">
        <v>3700</v>
      </c>
      <c r="T97" s="58" t="s">
        <v>3909</v>
      </c>
      <c r="U97" s="1195">
        <v>2</v>
      </c>
      <c r="V97" s="58" t="str">
        <f>IF($T97="","",IF(ISNUMBER(SEARCH(" "&amp;$T97&amp;" "," "&amp;$J$4&amp;" ")),"OUI",""))</f>
        <v>OUI</v>
      </c>
      <c r="W97" s="1195">
        <f>IF($V97="OUI",$U97,0)</f>
        <v>2</v>
      </c>
      <c r="X97" s="58" t="s">
        <v>3910</v>
      </c>
      <c r="Y97" s="1194" t="s">
        <v>3911</v>
      </c>
      <c r="Z97" s="1189">
        <f>IF($V97="OUI",COUNTIF($V$10:V97,"OUI"),"")</f>
        <v>14</v>
      </c>
      <c r="AA97" s="1188">
        <f>IF($V97="OUI",COUNTIFS($R$10:R97,$R97,$V$10:V97,"OUI"),"")</f>
        <v>3</v>
      </c>
      <c r="AB97" s="1201" t="str">
        <f>IF(AND($V97="OUI",$AA97=1),$R97,"")</f>
        <v/>
      </c>
    </row>
    <row r="98" spans="1:28" ht="38.1" customHeight="1" x14ac:dyDescent="0.25">
      <c r="A98" s="1209"/>
      <c r="B98" s="1227" t="s">
        <v>3545</v>
      </c>
      <c r="C98" s="1226" t="str">
        <f>IF(E86="OUI","✓ Plan : le texte contient une logique de diversification/substitution/alternative.","")</f>
        <v>✓ Plan : le texte contient une logique de diversification/substitution/alternative.</v>
      </c>
      <c r="D98" s="1226"/>
      <c r="E98" s="1226"/>
      <c r="F98" s="1226"/>
      <c r="G98" s="1226"/>
      <c r="H98" s="1226"/>
      <c r="I98" s="1204"/>
      <c r="J98" s="1203"/>
      <c r="K98" s="1203"/>
      <c r="L98" s="1203"/>
      <c r="M98" s="1203"/>
      <c r="N98" s="1203"/>
      <c r="O98" s="1202"/>
      <c r="Q98" s="993"/>
      <c r="R98" s="1196" t="s">
        <v>2251</v>
      </c>
      <c r="S98" s="58" t="s">
        <v>3700</v>
      </c>
      <c r="T98" s="58" t="s">
        <v>3912</v>
      </c>
      <c r="U98" s="1195">
        <v>2</v>
      </c>
      <c r="V98" s="58" t="str">
        <f>IF($T98="","",IF(ISNUMBER(SEARCH(" "&amp;$T98&amp;" "," "&amp;$J$4&amp;" ")),"OUI",""))</f>
        <v/>
      </c>
      <c r="W98" s="1195">
        <f>IF($V98="OUI",$U98,0)</f>
        <v>0</v>
      </c>
      <c r="X98" s="58" t="s">
        <v>3913</v>
      </c>
      <c r="Y98" s="1194" t="s">
        <v>3914</v>
      </c>
      <c r="Z98" s="1189" t="str">
        <f>IF($V98="OUI",COUNTIF($V$10:V98,"OUI"),"")</f>
        <v/>
      </c>
      <c r="AA98" s="1188" t="str">
        <f>IF($V98="OUI",COUNTIFS($R$10:R98,$R98,$V$10:V98,"OUI"),"")</f>
        <v/>
      </c>
      <c r="AB98" s="1201" t="str">
        <f>IF(AND($V98="OUI",$AA98=1),$R98,"")</f>
        <v/>
      </c>
    </row>
    <row r="99" spans="1:28" ht="38.1" customHeight="1" x14ac:dyDescent="0.25">
      <c r="A99" s="1209"/>
      <c r="B99" s="1227" t="s">
        <v>3546</v>
      </c>
      <c r="C99" s="1226" t="str">
        <f>IF(E87="OUI","✓ Économie : faire comprendre coût matière + main-d’œuvre + pertes + retours plateaux.","")</f>
        <v>✓ Économie : faire comprendre coût matière + main-d’œuvre + pertes + retours plateaux.</v>
      </c>
      <c r="D99" s="1226"/>
      <c r="E99" s="1226"/>
      <c r="F99" s="1226"/>
      <c r="G99" s="1226"/>
      <c r="H99" s="1226"/>
      <c r="I99" s="1204"/>
      <c r="J99" s="1203"/>
      <c r="K99" s="1203"/>
      <c r="L99" s="1203"/>
      <c r="M99" s="1203"/>
      <c r="N99" s="1203"/>
      <c r="O99" s="1202"/>
      <c r="Q99" s="993"/>
      <c r="R99" s="1196" t="s">
        <v>310</v>
      </c>
      <c r="S99" s="58" t="s">
        <v>3700</v>
      </c>
      <c r="T99" s="58" t="s">
        <v>3915</v>
      </c>
      <c r="U99" s="1195">
        <v>2</v>
      </c>
      <c r="V99" s="58" t="str">
        <f>IF($T99="","",IF(ISNUMBER(SEARCH(" "&amp;$T99&amp;" "," "&amp;$J$4&amp;" ")),"OUI",""))</f>
        <v/>
      </c>
      <c r="W99" s="1195">
        <f>IF($V99="OUI",$U99,0)</f>
        <v>0</v>
      </c>
      <c r="X99" s="58" t="s">
        <v>3916</v>
      </c>
      <c r="Y99" s="1194" t="s">
        <v>3917</v>
      </c>
      <c r="Z99" s="1189" t="str">
        <f>IF($V99="OUI",COUNTIF($V$10:V99,"OUI"),"")</f>
        <v/>
      </c>
      <c r="AA99" s="1188" t="str">
        <f>IF($V99="OUI",COUNTIFS($R$10:R99,$R99,$V$10:V99,"OUI"),"")</f>
        <v/>
      </c>
      <c r="AB99" s="1201" t="str">
        <f>IF(AND($V99="OUI",$AA99=1),$R99,"")</f>
        <v/>
      </c>
    </row>
    <row r="100" spans="1:28" ht="38.1" customHeight="1" x14ac:dyDescent="0.25">
      <c r="A100" s="1209"/>
      <c r="B100" s="1227" t="s">
        <v>3547</v>
      </c>
      <c r="C100" s="1226" t="str">
        <f>IF(E88="OUI","✓ Publics : expliquer sans culpabiliser ni opposer les convives.","")</f>
        <v>✓ Publics : expliquer sans culpabiliser ni opposer les convives.</v>
      </c>
      <c r="D100" s="1226"/>
      <c r="E100" s="1226"/>
      <c r="F100" s="1226"/>
      <c r="G100" s="1226"/>
      <c r="H100" s="1226"/>
      <c r="I100" s="1204"/>
      <c r="J100" s="1203"/>
      <c r="K100" s="1203"/>
      <c r="L100" s="1203"/>
      <c r="M100" s="1203"/>
      <c r="N100" s="1203"/>
      <c r="O100" s="1202"/>
      <c r="Q100" s="993"/>
      <c r="R100" s="1196" t="s">
        <v>310</v>
      </c>
      <c r="S100" s="58" t="s">
        <v>3700</v>
      </c>
      <c r="T100" s="58" t="s">
        <v>2319</v>
      </c>
      <c r="U100" s="1195">
        <v>2</v>
      </c>
      <c r="V100" s="58" t="str">
        <f>IF($T100="","",IF(ISNUMBER(SEARCH(" "&amp;$T100&amp;" "," "&amp;$J$4&amp;" ")),"OUI",""))</f>
        <v/>
      </c>
      <c r="W100" s="1195">
        <f>IF($V100="OUI",$U100,0)</f>
        <v>0</v>
      </c>
      <c r="X100" s="58" t="s">
        <v>3918</v>
      </c>
      <c r="Y100" s="1194" t="s">
        <v>3917</v>
      </c>
      <c r="Z100" s="1189" t="str">
        <f>IF($V100="OUI",COUNTIF($V$10:V100,"OUI"),"")</f>
        <v/>
      </c>
      <c r="AA100" s="1188" t="str">
        <f>IF($V100="OUI",COUNTIFS($R$10:R100,$R100,$V$10:V100,"OUI"),"")</f>
        <v/>
      </c>
      <c r="AB100" s="1201" t="str">
        <f>IF(AND($V100="OUI",$AA100=1),$R100,"")</f>
        <v/>
      </c>
    </row>
    <row r="101" spans="1:28" ht="38.1" customHeight="1" x14ac:dyDescent="0.25">
      <c r="A101" s="1209"/>
      <c r="B101" s="1227" t="s">
        <v>3548</v>
      </c>
      <c r="C101" s="1226" t="str">
        <f>IF(E89="OUI","✓ Bouche : maîtriser texture, sauce, assaisonnement, moelleux, mâche et tenue au chaud.","")</f>
        <v>✓ Bouche : maîtriser texture, sauce, assaisonnement, moelleux, mâche et tenue au chaud.</v>
      </c>
      <c r="D101" s="1226"/>
      <c r="E101" s="1226"/>
      <c r="F101" s="1226"/>
      <c r="G101" s="1226"/>
      <c r="H101" s="1226"/>
      <c r="I101" s="1204"/>
      <c r="J101" s="1203"/>
      <c r="K101" s="1203"/>
      <c r="L101" s="1203"/>
      <c r="M101" s="1203"/>
      <c r="N101" s="1203"/>
      <c r="O101" s="1202"/>
      <c r="Q101" s="993"/>
      <c r="R101" s="1196" t="s">
        <v>310</v>
      </c>
      <c r="S101" s="58" t="s">
        <v>3700</v>
      </c>
      <c r="T101" s="58" t="s">
        <v>3919</v>
      </c>
      <c r="U101" s="1195">
        <v>1</v>
      </c>
      <c r="V101" s="58" t="str">
        <f>IF($T101="","",IF(ISNUMBER(SEARCH(" "&amp;$T101&amp;" "," "&amp;$J$4&amp;" ")),"OUI",""))</f>
        <v/>
      </c>
      <c r="W101" s="1195">
        <f>IF($V101="OUI",$U101,0)</f>
        <v>0</v>
      </c>
      <c r="X101" s="58" t="s">
        <v>3920</v>
      </c>
      <c r="Y101" s="1194" t="s">
        <v>3921</v>
      </c>
      <c r="Z101" s="1189" t="str">
        <f>IF($V101="OUI",COUNTIF($V$10:V101,"OUI"),"")</f>
        <v/>
      </c>
      <c r="AA101" s="1188" t="str">
        <f>IF($V101="OUI",COUNTIFS($R$10:R101,$R101,$V$10:V101,"OUI"),"")</f>
        <v/>
      </c>
      <c r="AB101" s="1201" t="str">
        <f>IF(AND($V101="OUI",$AA101=1),$R101,"")</f>
        <v/>
      </c>
    </row>
    <row r="102" spans="1:28" ht="38.1" customHeight="1" x14ac:dyDescent="0.25">
      <c r="A102" s="1209"/>
      <c r="B102" s="1227" t="s">
        <v>3549</v>
      </c>
      <c r="C102" s="1226" t="str">
        <f>IF(E90="OUI","✓ Nutrition : vérifier protéine, équilibre, plat complet, légumineuse, céréale, fibres et fer.","")</f>
        <v>✓ Nutrition : vérifier protéine, équilibre, plat complet, légumineuse, céréale, fibres et fer.</v>
      </c>
      <c r="D102" s="1226"/>
      <c r="E102" s="1226"/>
      <c r="F102" s="1226"/>
      <c r="G102" s="1226"/>
      <c r="H102" s="1226"/>
      <c r="I102" s="1204"/>
      <c r="J102" s="1203"/>
      <c r="K102" s="1203"/>
      <c r="L102" s="1203"/>
      <c r="M102" s="1203"/>
      <c r="N102" s="1203"/>
      <c r="O102" s="1202"/>
      <c r="Q102" s="993"/>
      <c r="R102" s="1196" t="s">
        <v>310</v>
      </c>
      <c r="S102" s="58" t="s">
        <v>3700</v>
      </c>
      <c r="T102" s="58" t="s">
        <v>3922</v>
      </c>
      <c r="U102" s="1195">
        <v>1</v>
      </c>
      <c r="V102" s="58" t="str">
        <f>IF($T102="","",IF(ISNUMBER(SEARCH(" "&amp;$T102&amp;" "," "&amp;$J$4&amp;" ")),"OUI",""))</f>
        <v/>
      </c>
      <c r="W102" s="1195">
        <f>IF($V102="OUI",$U102,0)</f>
        <v>0</v>
      </c>
      <c r="X102" s="58" t="s">
        <v>3923</v>
      </c>
      <c r="Y102" s="1194" t="s">
        <v>3924</v>
      </c>
      <c r="Z102" s="1189" t="str">
        <f>IF($V102="OUI",COUNTIF($V$10:V102,"OUI"),"")</f>
        <v/>
      </c>
      <c r="AA102" s="1188" t="str">
        <f>IF($V102="OUI",COUNTIFS($R$10:R102,$R102,$V$10:V102,"OUI"),"")</f>
        <v/>
      </c>
      <c r="AB102" s="1201" t="str">
        <f>IF(AND($V102="OUI",$AA102=1),$R102,"")</f>
        <v/>
      </c>
    </row>
    <row r="103" spans="1:28" ht="38.1" customHeight="1" x14ac:dyDescent="0.25">
      <c r="A103" s="1209"/>
      <c r="B103" s="1227" t="s">
        <v>3550</v>
      </c>
      <c r="C103" s="1226" t="str">
        <f>IF(E91="OUI","⚠ Seitan / gluten : utilisation uniquement avec contrôle allergène gluten.","")</f>
        <v>⚠ Seitan / gluten : utilisation uniquement avec contrôle allergène gluten.</v>
      </c>
      <c r="D103" s="1226"/>
      <c r="E103" s="1226"/>
      <c r="F103" s="1226"/>
      <c r="G103" s="1226"/>
      <c r="H103" s="1226"/>
      <c r="I103" s="1204"/>
      <c r="J103" s="1203"/>
      <c r="K103" s="1203"/>
      <c r="L103" s="1203"/>
      <c r="M103" s="1203"/>
      <c r="N103" s="1203"/>
      <c r="O103" s="1202"/>
      <c r="Q103" s="993"/>
      <c r="R103" s="1196" t="s">
        <v>310</v>
      </c>
      <c r="S103" s="58" t="s">
        <v>3700</v>
      </c>
      <c r="T103" s="58" t="s">
        <v>3925</v>
      </c>
      <c r="U103" s="1195">
        <v>1</v>
      </c>
      <c r="V103" s="58" t="str">
        <f>IF($T103="","",IF(ISNUMBER(SEARCH(" "&amp;$T103&amp;" "," "&amp;$J$4&amp;" ")),"OUI",""))</f>
        <v/>
      </c>
      <c r="W103" s="1195">
        <f>IF($V103="OUI",$U103,0)</f>
        <v>0</v>
      </c>
      <c r="X103" s="58" t="s">
        <v>3926</v>
      </c>
      <c r="Y103" s="1194" t="s">
        <v>3927</v>
      </c>
      <c r="Z103" s="1189" t="str">
        <f>IF($V103="OUI",COUNTIF($V$10:V103,"OUI"),"")</f>
        <v/>
      </c>
      <c r="AA103" s="1188" t="str">
        <f>IF($V103="OUI",COUNTIFS($R$10:R103,$R103,$V$10:V103,"OUI"),"")</f>
        <v/>
      </c>
      <c r="AB103" s="1201" t="str">
        <f>IF(AND($V103="OUI",$AA103=1),$R103,"")</f>
        <v/>
      </c>
    </row>
    <row r="104" spans="1:28" ht="38.1" customHeight="1" x14ac:dyDescent="0.25">
      <c r="A104" s="1209"/>
      <c r="B104" s="1227" t="s">
        <v>3551</v>
      </c>
      <c r="C104" s="1226" t="str">
        <f>IF(E92="OUI","✓ Sources végétales : éviter le réflexe lentilles uniquement ; varier pois chiches, haricots, soja, tofu, tempeh, etc.","")</f>
        <v>✓ Sources végétales : éviter le réflexe lentilles uniquement ; varier pois chiches, haricots, soja, tofu, tempeh, etc.</v>
      </c>
      <c r="D104" s="1226"/>
      <c r="E104" s="1226"/>
      <c r="F104" s="1226"/>
      <c r="G104" s="1226"/>
      <c r="H104" s="1226"/>
      <c r="I104" s="1204"/>
      <c r="J104" s="1203"/>
      <c r="K104" s="1203"/>
      <c r="L104" s="1203"/>
      <c r="M104" s="1203"/>
      <c r="N104" s="1203"/>
      <c r="O104" s="1202"/>
      <c r="Q104" s="993"/>
      <c r="R104" s="1196" t="s">
        <v>310</v>
      </c>
      <c r="S104" s="58" t="s">
        <v>3700</v>
      </c>
      <c r="T104" s="58" t="s">
        <v>3928</v>
      </c>
      <c r="U104" s="1195">
        <v>1</v>
      </c>
      <c r="V104" s="58" t="str">
        <f>IF($T104="","",IF(ISNUMBER(SEARCH(" "&amp;$T104&amp;" "," "&amp;$J$4&amp;" ")),"OUI",""))</f>
        <v/>
      </c>
      <c r="W104" s="1195">
        <f>IF($V104="OUI",$U104,0)</f>
        <v>0</v>
      </c>
      <c r="X104" s="58" t="s">
        <v>3929</v>
      </c>
      <c r="Y104" s="1194" t="s">
        <v>3930</v>
      </c>
      <c r="Z104" s="1189" t="str">
        <f>IF($V104="OUI",COUNTIF($V$10:V104,"OUI"),"")</f>
        <v/>
      </c>
      <c r="AA104" s="1188" t="str">
        <f>IF($V104="OUI",COUNTIFS($R$10:R104,$R104,$V$10:V104,"OUI"),"")</f>
        <v/>
      </c>
      <c r="AB104" s="1201" t="str">
        <f>IF(AND($V104="OUI",$AA104=1),$R104,"")</f>
        <v/>
      </c>
    </row>
    <row r="105" spans="1:28" ht="42" customHeight="1" x14ac:dyDescent="0.25">
      <c r="A105" s="1209"/>
      <c r="B105" s="1225"/>
      <c r="C105" s="1224"/>
      <c r="D105" s="1224"/>
      <c r="E105" s="1224"/>
      <c r="F105" s="1224"/>
      <c r="G105" s="1224"/>
      <c r="H105" s="1223"/>
      <c r="I105" s="1204"/>
      <c r="J105" s="1203"/>
      <c r="K105" s="1203"/>
      <c r="L105" s="1203"/>
      <c r="M105" s="1203"/>
      <c r="N105" s="1203"/>
      <c r="O105" s="1202"/>
      <c r="Q105" s="993"/>
      <c r="R105" s="1196" t="s">
        <v>310</v>
      </c>
      <c r="S105" s="58" t="s">
        <v>3700</v>
      </c>
      <c r="T105" s="58" t="s">
        <v>3931</v>
      </c>
      <c r="U105" s="1195">
        <v>1</v>
      </c>
      <c r="V105" s="58" t="str">
        <f>IF($T105="","",IF(ISNUMBER(SEARCH(" "&amp;$T105&amp;" "," "&amp;$J$4&amp;" ")),"OUI",""))</f>
        <v/>
      </c>
      <c r="W105" s="1195">
        <f>IF($V105="OUI",$U105,0)</f>
        <v>0</v>
      </c>
      <c r="X105" s="58" t="s">
        <v>3932</v>
      </c>
      <c r="Y105" s="1194" t="s">
        <v>3933</v>
      </c>
      <c r="Z105" s="1189" t="str">
        <f>IF($V105="OUI",COUNTIF($V$10:V105,"OUI"),"")</f>
        <v/>
      </c>
      <c r="AA105" s="1188" t="str">
        <f>IF($V105="OUI",COUNTIFS($R$10:R105,$R105,$V$10:V105,"OUI"),"")</f>
        <v/>
      </c>
      <c r="AB105" s="1201" t="str">
        <f>IF(AND($V105="OUI",$AA105=1),$R105,"")</f>
        <v/>
      </c>
    </row>
    <row r="106" spans="1:28" ht="42" customHeight="1" thickBot="1" x14ac:dyDescent="0.3">
      <c r="A106" s="1209"/>
      <c r="B106" s="1222"/>
      <c r="C106" s="1221"/>
      <c r="D106" s="1221"/>
      <c r="E106" s="1221"/>
      <c r="F106" s="1221"/>
      <c r="G106" s="1221"/>
      <c r="H106" s="1220"/>
      <c r="I106" s="1204"/>
      <c r="J106" s="1203"/>
      <c r="K106" s="1203"/>
      <c r="L106" s="1203"/>
      <c r="M106" s="1203"/>
      <c r="N106" s="1203"/>
      <c r="O106" s="1202"/>
      <c r="Q106" s="993"/>
      <c r="R106" s="1196" t="s">
        <v>310</v>
      </c>
      <c r="S106" s="58" t="s">
        <v>3700</v>
      </c>
      <c r="T106" s="58" t="s">
        <v>3934</v>
      </c>
      <c r="U106" s="1195">
        <v>1</v>
      </c>
      <c r="V106" s="58" t="str">
        <f>IF($T106="","",IF(ISNUMBER(SEARCH(" "&amp;$T106&amp;" "," "&amp;$J$4&amp;" ")),"OUI",""))</f>
        <v/>
      </c>
      <c r="W106" s="1195">
        <f>IF($V106="OUI",$U106,0)</f>
        <v>0</v>
      </c>
      <c r="X106" s="58" t="s">
        <v>3935</v>
      </c>
      <c r="Y106" s="1194" t="s">
        <v>3936</v>
      </c>
      <c r="Z106" s="1189" t="str">
        <f>IF($V106="OUI",COUNTIF($V$10:V106,"OUI"),"")</f>
        <v/>
      </c>
      <c r="AA106" s="1188" t="str">
        <f>IF($V106="OUI",COUNTIFS($R$10:R106,$R106,$V$10:V106,"OUI"),"")</f>
        <v/>
      </c>
      <c r="AB106" s="1201" t="str">
        <f>IF(AND($V106="OUI",$AA106=1),$R106,"")</f>
        <v/>
      </c>
    </row>
    <row r="107" spans="1:28" ht="26.1" customHeight="1" x14ac:dyDescent="0.25">
      <c r="A107" s="1209"/>
      <c r="B107" s="1219" t="s">
        <v>4402</v>
      </c>
      <c r="C107" s="1219"/>
      <c r="D107" s="1219"/>
      <c r="E107" s="1219"/>
      <c r="F107" s="1219"/>
      <c r="G107" s="1219"/>
      <c r="H107" s="1219"/>
      <c r="I107" s="1204"/>
      <c r="J107" s="1203"/>
      <c r="K107" s="1203"/>
      <c r="L107" s="1203"/>
      <c r="M107" s="1203"/>
      <c r="N107" s="1203"/>
      <c r="O107" s="1202"/>
      <c r="Q107" s="993"/>
      <c r="R107" s="1196" t="s">
        <v>572</v>
      </c>
      <c r="S107" s="58" t="s">
        <v>3700</v>
      </c>
      <c r="T107" s="58" t="s">
        <v>2334</v>
      </c>
      <c r="U107" s="1195">
        <v>2</v>
      </c>
      <c r="V107" s="58" t="str">
        <f>IF($T107="","",IF(ISNUMBER(SEARCH(" "&amp;$T107&amp;" "," "&amp;$J$4&amp;" ")),"OUI",""))</f>
        <v/>
      </c>
      <c r="W107" s="1195">
        <f>IF($V107="OUI",$U107,0)</f>
        <v>0</v>
      </c>
      <c r="X107" s="58" t="s">
        <v>3937</v>
      </c>
      <c r="Y107" s="1194" t="s">
        <v>3938</v>
      </c>
      <c r="Z107" s="1189" t="str">
        <f>IF($V107="OUI",COUNTIF($V$10:V107,"OUI"),"")</f>
        <v/>
      </c>
      <c r="AA107" s="1188" t="str">
        <f>IF($V107="OUI",COUNTIFS($R$10:R107,$R107,$V$10:V107,"OUI"),"")</f>
        <v/>
      </c>
      <c r="AB107" s="1201" t="str">
        <f>IF(AND($V107="OUI",$AA107=1),$R107,"")</f>
        <v/>
      </c>
    </row>
    <row r="108" spans="1:28" ht="27.95" customHeight="1" x14ac:dyDescent="0.25">
      <c r="A108" s="1209"/>
      <c r="B108" s="1218" t="s">
        <v>1719</v>
      </c>
      <c r="C108" s="1217" t="s">
        <v>2427</v>
      </c>
      <c r="D108" s="1217"/>
      <c r="E108" s="1217"/>
      <c r="F108" s="1216" t="s">
        <v>2428</v>
      </c>
      <c r="G108" s="1215"/>
      <c r="H108" s="1214"/>
      <c r="I108" s="1204"/>
      <c r="J108" s="1203"/>
      <c r="K108" s="1203"/>
      <c r="L108" s="1203"/>
      <c r="M108" s="1203"/>
      <c r="N108" s="1203"/>
      <c r="O108" s="1202"/>
      <c r="Q108" s="993"/>
      <c r="R108" s="1196" t="s">
        <v>572</v>
      </c>
      <c r="S108" s="58" t="s">
        <v>3700</v>
      </c>
      <c r="T108" s="58" t="s">
        <v>2340</v>
      </c>
      <c r="U108" s="1195">
        <v>2</v>
      </c>
      <c r="V108" s="58" t="str">
        <f>IF($T108="","",IF(ISNUMBER(SEARCH(" "&amp;$T108&amp;" "," "&amp;$J$4&amp;" ")),"OUI",""))</f>
        <v>OUI</v>
      </c>
      <c r="W108" s="1195">
        <f>IF($V108="OUI",$U108,0)</f>
        <v>2</v>
      </c>
      <c r="X108" s="58" t="s">
        <v>3939</v>
      </c>
      <c r="Y108" s="1194" t="s">
        <v>3938</v>
      </c>
      <c r="Z108" s="1189">
        <f>IF($V108="OUI",COUNTIF($V$10:V108,"OUI"),"")</f>
        <v>15</v>
      </c>
      <c r="AA108" s="1188">
        <f>IF($V108="OUI",COUNTIFS($R$10:R108,$R108,$V$10:V108,"OUI"),"")</f>
        <v>1</v>
      </c>
      <c r="AB108" s="1201" t="str">
        <f>IF(AND($V108="OUI",$AA108=1),$R108,"")</f>
        <v>NUTRITION</v>
      </c>
    </row>
    <row r="109" spans="1:28" ht="50.1" customHeight="1" x14ac:dyDescent="0.25">
      <c r="A109" s="1209"/>
      <c r="B109" s="1213" t="s">
        <v>241</v>
      </c>
      <c r="C109" s="1212" t="s">
        <v>2429</v>
      </c>
      <c r="D109" s="1212"/>
      <c r="E109" s="1212"/>
      <c r="F109" s="1211" t="s">
        <v>2430</v>
      </c>
      <c r="G109" s="1211"/>
      <c r="H109" s="1210"/>
      <c r="I109" s="1204"/>
      <c r="J109" s="1203"/>
      <c r="K109" s="1203"/>
      <c r="L109" s="1203"/>
      <c r="M109" s="1203"/>
      <c r="N109" s="1203"/>
      <c r="O109" s="1202"/>
      <c r="Q109" s="993"/>
      <c r="R109" s="1196" t="s">
        <v>572</v>
      </c>
      <c r="S109" s="58" t="s">
        <v>3700</v>
      </c>
      <c r="T109" s="58" t="s">
        <v>3940</v>
      </c>
      <c r="U109" s="1195">
        <v>2</v>
      </c>
      <c r="V109" s="58" t="str">
        <f>IF($T109="","",IF(ISNUMBER(SEARCH(" "&amp;$T109&amp;" "," "&amp;$J$4&amp;" ")),"OUI",""))</f>
        <v/>
      </c>
      <c r="W109" s="1195">
        <f>IF($V109="OUI",$U109,0)</f>
        <v>0</v>
      </c>
      <c r="X109" s="58" t="s">
        <v>3941</v>
      </c>
      <c r="Y109" s="1194" t="s">
        <v>3942</v>
      </c>
      <c r="Z109" s="1189" t="str">
        <f>IF($V109="OUI",COUNTIF($V$10:V109,"OUI"),"")</f>
        <v/>
      </c>
      <c r="AA109" s="1188" t="str">
        <f>IF($V109="OUI",COUNTIFS($R$10:R109,$R109,$V$10:V109,"OUI"),"")</f>
        <v/>
      </c>
      <c r="AB109" s="1201" t="str">
        <f>IF(AND($V109="OUI",$AA109=1),$R109,"")</f>
        <v/>
      </c>
    </row>
    <row r="110" spans="1:28" ht="50.1" customHeight="1" x14ac:dyDescent="0.25">
      <c r="A110" s="1209"/>
      <c r="B110" s="1213" t="s">
        <v>2431</v>
      </c>
      <c r="C110" s="1212" t="s">
        <v>2432</v>
      </c>
      <c r="D110" s="1212"/>
      <c r="E110" s="1212"/>
      <c r="F110" s="1211" t="s">
        <v>2433</v>
      </c>
      <c r="G110" s="1211"/>
      <c r="H110" s="1210"/>
      <c r="I110" s="1204"/>
      <c r="J110" s="1203"/>
      <c r="K110" s="1203"/>
      <c r="L110" s="1203"/>
      <c r="M110" s="1203"/>
      <c r="N110" s="1203"/>
      <c r="O110" s="1202"/>
      <c r="Q110" s="993"/>
      <c r="R110" s="1196" t="s">
        <v>572</v>
      </c>
      <c r="S110" s="58" t="s">
        <v>3700</v>
      </c>
      <c r="T110" s="58" t="s">
        <v>2346</v>
      </c>
      <c r="U110" s="1195">
        <v>2</v>
      </c>
      <c r="V110" s="58" t="str">
        <f>IF($T110="","",IF(ISNUMBER(SEARCH(" "&amp;$T110&amp;" "," "&amp;$J$4&amp;" ")),"OUI",""))</f>
        <v/>
      </c>
      <c r="W110" s="1195">
        <f>IF($V110="OUI",$U110,0)</f>
        <v>0</v>
      </c>
      <c r="X110" s="58" t="s">
        <v>3943</v>
      </c>
      <c r="Y110" s="1194" t="s">
        <v>3944</v>
      </c>
      <c r="Z110" s="1189" t="str">
        <f>IF($V110="OUI",COUNTIF($V$10:V110,"OUI"),"")</f>
        <v/>
      </c>
      <c r="AA110" s="1188" t="str">
        <f>IF($V110="OUI",COUNTIFS($R$10:R110,$R110,$V$10:V110,"OUI"),"")</f>
        <v/>
      </c>
      <c r="AB110" s="1201" t="str">
        <f>IF(AND($V110="OUI",$AA110=1),$R110,"")</f>
        <v/>
      </c>
    </row>
    <row r="111" spans="1:28" ht="50.1" customHeight="1" x14ac:dyDescent="0.25">
      <c r="A111" s="1209"/>
      <c r="B111" s="1213" t="s">
        <v>2434</v>
      </c>
      <c r="C111" s="1212" t="s">
        <v>2435</v>
      </c>
      <c r="D111" s="1212"/>
      <c r="E111" s="1212"/>
      <c r="F111" s="1211" t="s">
        <v>2436</v>
      </c>
      <c r="G111" s="1211"/>
      <c r="H111" s="1210"/>
      <c r="I111" s="1204"/>
      <c r="J111" s="1203"/>
      <c r="K111" s="1203"/>
      <c r="L111" s="1203"/>
      <c r="M111" s="1203"/>
      <c r="N111" s="1203"/>
      <c r="O111" s="1202"/>
      <c r="Q111" s="993"/>
      <c r="R111" s="1196" t="s">
        <v>572</v>
      </c>
      <c r="S111" s="58" t="s">
        <v>3700</v>
      </c>
      <c r="T111" s="58" t="s">
        <v>2363</v>
      </c>
      <c r="U111" s="1195">
        <v>1</v>
      </c>
      <c r="V111" s="58" t="str">
        <f>IF($T111="","",IF(ISNUMBER(SEARCH(" "&amp;$T111&amp;" "," "&amp;$J$4&amp;" ")),"OUI",""))</f>
        <v/>
      </c>
      <c r="W111" s="1195">
        <f>IF($V111="OUI",$U111,0)</f>
        <v>0</v>
      </c>
      <c r="X111" s="58" t="s">
        <v>3945</v>
      </c>
      <c r="Y111" s="1194" t="s">
        <v>3946</v>
      </c>
      <c r="Z111" s="1189" t="str">
        <f>IF($V111="OUI",COUNTIF($V$10:V111,"OUI"),"")</f>
        <v/>
      </c>
      <c r="AA111" s="1188" t="str">
        <f>IF($V111="OUI",COUNTIFS($R$10:R111,$R111,$V$10:V111,"OUI"),"")</f>
        <v/>
      </c>
      <c r="AB111" s="1201" t="str">
        <f>IF(AND($V111="OUI",$AA111=1),$R111,"")</f>
        <v/>
      </c>
    </row>
    <row r="112" spans="1:28" ht="50.1" customHeight="1" x14ac:dyDescent="0.25">
      <c r="A112" s="1209"/>
      <c r="B112" s="1213" t="s">
        <v>2437</v>
      </c>
      <c r="C112" s="1212" t="s">
        <v>2438</v>
      </c>
      <c r="D112" s="1212"/>
      <c r="E112" s="1212"/>
      <c r="F112" s="1211" t="s">
        <v>2439</v>
      </c>
      <c r="G112" s="1211"/>
      <c r="H112" s="1210"/>
      <c r="I112" s="1204"/>
      <c r="J112" s="1203"/>
      <c r="K112" s="1203"/>
      <c r="L112" s="1203"/>
      <c r="M112" s="1203"/>
      <c r="N112" s="1203"/>
      <c r="O112" s="1202"/>
      <c r="Q112" s="993"/>
      <c r="R112" s="1196" t="s">
        <v>572</v>
      </c>
      <c r="S112" s="58" t="s">
        <v>3700</v>
      </c>
      <c r="T112" s="58" t="s">
        <v>2366</v>
      </c>
      <c r="U112" s="1195">
        <v>1</v>
      </c>
      <c r="V112" s="58" t="str">
        <f>IF($T112="","",IF(ISNUMBER(SEARCH(" "&amp;$T112&amp;" "," "&amp;$J$4&amp;" ")),"OUI",""))</f>
        <v/>
      </c>
      <c r="W112" s="1195">
        <f>IF($V112="OUI",$U112,0)</f>
        <v>0</v>
      </c>
      <c r="X112" s="58" t="s">
        <v>3947</v>
      </c>
      <c r="Y112" s="1194" t="s">
        <v>3948</v>
      </c>
      <c r="Z112" s="1189" t="str">
        <f>IF($V112="OUI",COUNTIF($V$10:V112,"OUI"),"")</f>
        <v/>
      </c>
      <c r="AA112" s="1188" t="str">
        <f>IF($V112="OUI",COUNTIFS($R$10:R112,$R112,$V$10:V112,"OUI"),"")</f>
        <v/>
      </c>
      <c r="AB112" s="1201" t="str">
        <f>IF(AND($V112="OUI",$AA112=1),$R112,"")</f>
        <v/>
      </c>
    </row>
    <row r="113" spans="1:28" ht="50.1" customHeight="1" thickBot="1" x14ac:dyDescent="0.3">
      <c r="A113" s="1209"/>
      <c r="B113" s="1208" t="s">
        <v>1830</v>
      </c>
      <c r="C113" s="1207" t="s">
        <v>494</v>
      </c>
      <c r="D113" s="1207"/>
      <c r="E113" s="1207"/>
      <c r="F113" s="1206" t="s">
        <v>2440</v>
      </c>
      <c r="G113" s="1206"/>
      <c r="H113" s="1205"/>
      <c r="I113" s="1204"/>
      <c r="J113" s="1203"/>
      <c r="K113" s="1203"/>
      <c r="L113" s="1203"/>
      <c r="M113" s="1203"/>
      <c r="N113" s="1203"/>
      <c r="O113" s="1202"/>
      <c r="Q113" s="993"/>
      <c r="R113" s="1196" t="s">
        <v>572</v>
      </c>
      <c r="S113" s="58" t="s">
        <v>3700</v>
      </c>
      <c r="T113" s="58" t="s">
        <v>3949</v>
      </c>
      <c r="U113" s="1195">
        <v>1</v>
      </c>
      <c r="V113" s="58" t="str">
        <f>IF($T113="","",IF(ISNUMBER(SEARCH(" "&amp;$T113&amp;" "," "&amp;$J$4&amp;" ")),"OUI",""))</f>
        <v/>
      </c>
      <c r="W113" s="1195">
        <f>IF($V113="OUI",$U113,0)</f>
        <v>0</v>
      </c>
      <c r="X113" s="58" t="s">
        <v>3950</v>
      </c>
      <c r="Y113" s="1194" t="s">
        <v>3951</v>
      </c>
      <c r="Z113" s="1189" t="str">
        <f>IF($V113="OUI",COUNTIF($V$10:V113,"OUI"),"")</f>
        <v/>
      </c>
      <c r="AA113" s="1188" t="str">
        <f>IF($V113="OUI",COUNTIFS($R$10:R113,$R113,$V$10:V113,"OUI"),"")</f>
        <v/>
      </c>
      <c r="AB113" s="1201" t="str">
        <f>IF(AND($V113="OUI",$AA113=1),$R113,"")</f>
        <v/>
      </c>
    </row>
    <row r="114" spans="1:28" ht="42" customHeight="1" x14ac:dyDescent="0.25">
      <c r="I114" s="993"/>
      <c r="Q114" s="993"/>
      <c r="R114" s="1196" t="s">
        <v>572</v>
      </c>
      <c r="S114" s="58" t="s">
        <v>3700</v>
      </c>
      <c r="T114" s="58" t="s">
        <v>3952</v>
      </c>
      <c r="U114" s="1195">
        <v>1</v>
      </c>
      <c r="V114" s="58" t="str">
        <f>IF($T114="","",IF(ISNUMBER(SEARCH(" "&amp;$T114&amp;" "," "&amp;$J$4&amp;" ")),"OUI",""))</f>
        <v/>
      </c>
      <c r="W114" s="1195">
        <f>IF($V114="OUI",$U114,0)</f>
        <v>0</v>
      </c>
      <c r="X114" s="58" t="s">
        <v>3953</v>
      </c>
      <c r="Y114" s="1194" t="s">
        <v>3951</v>
      </c>
      <c r="Z114" s="1189" t="str">
        <f>IF($V114="OUI",COUNTIF($V$10:V114,"OUI"),"")</f>
        <v/>
      </c>
      <c r="AA114" s="1188" t="str">
        <f>IF($V114="OUI",COUNTIFS($R$10:R114,$R114,$V$10:V114,"OUI"),"")</f>
        <v/>
      </c>
      <c r="AB114" s="1201" t="str">
        <f>IF(AND($V114="OUI",$AA114=1),$R114,"")</f>
        <v/>
      </c>
    </row>
    <row r="115" spans="1:28" ht="42" customHeight="1" x14ac:dyDescent="0.25">
      <c r="I115" s="993"/>
      <c r="Q115" s="993"/>
      <c r="R115" s="1196" t="s">
        <v>572</v>
      </c>
      <c r="S115" s="58" t="s">
        <v>3700</v>
      </c>
      <c r="T115" s="58" t="s">
        <v>2360</v>
      </c>
      <c r="U115" s="1195">
        <v>1</v>
      </c>
      <c r="V115" s="58" t="str">
        <f>IF($T115="","",IF(ISNUMBER(SEARCH(" "&amp;$T115&amp;" "," "&amp;$J$4&amp;" ")),"OUI",""))</f>
        <v/>
      </c>
      <c r="W115" s="1195">
        <f>IF($V115="OUI",$U115,0)</f>
        <v>0</v>
      </c>
      <c r="X115" s="58" t="s">
        <v>3954</v>
      </c>
      <c r="Y115" s="1194" t="s">
        <v>3955</v>
      </c>
      <c r="Z115" s="1189" t="str">
        <f>IF($V115="OUI",COUNTIF($V$10:V115,"OUI"),"")</f>
        <v/>
      </c>
      <c r="AA115" s="1188" t="str">
        <f>IF($V115="OUI",COUNTIFS($R$10:R115,$R115,$V$10:V115,"OUI"),"")</f>
        <v/>
      </c>
      <c r="AB115" s="1201" t="str">
        <f>IF(AND($V115="OUI",$AA115=1),$R115,"")</f>
        <v/>
      </c>
    </row>
    <row r="116" spans="1:28" ht="42" customHeight="1" x14ac:dyDescent="0.25">
      <c r="I116" s="993"/>
      <c r="Q116" s="993"/>
      <c r="R116" s="1196" t="s">
        <v>572</v>
      </c>
      <c r="S116" s="58" t="s">
        <v>3700</v>
      </c>
      <c r="T116" s="58" t="s">
        <v>2012</v>
      </c>
      <c r="U116" s="1195">
        <v>1</v>
      </c>
      <c r="V116" s="58" t="str">
        <f>IF($T116="","",IF(ISNUMBER(SEARCH(" "&amp;$T116&amp;" "," "&amp;$J$4&amp;" ")),"OUI",""))</f>
        <v>OUI</v>
      </c>
      <c r="W116" s="1195">
        <f>IF($V116="OUI",$U116,0)</f>
        <v>1</v>
      </c>
      <c r="X116" s="58" t="s">
        <v>3956</v>
      </c>
      <c r="Y116" s="1194" t="s">
        <v>3957</v>
      </c>
      <c r="Z116" s="1189">
        <f>IF($V116="OUI",COUNTIF($V$10:V116,"OUI"),"")</f>
        <v>16</v>
      </c>
      <c r="AA116" s="1188">
        <f>IF($V116="OUI",COUNTIFS($R$10:R116,$R116,$V$10:V116,"OUI"),"")</f>
        <v>2</v>
      </c>
      <c r="AB116" s="1201" t="str">
        <f>IF(AND($V116="OUI",$AA116=1),$R116,"")</f>
        <v/>
      </c>
    </row>
    <row r="117" spans="1:28" ht="42" customHeight="1" x14ac:dyDescent="0.25">
      <c r="I117" s="993"/>
      <c r="Q117" s="993"/>
      <c r="R117" s="1193" t="s">
        <v>572</v>
      </c>
      <c r="S117" s="1191" t="s">
        <v>3700</v>
      </c>
      <c r="T117" s="1191" t="s">
        <v>2015</v>
      </c>
      <c r="U117" s="1192">
        <v>1</v>
      </c>
      <c r="V117" s="1191" t="str">
        <f>IF($T117="","",IF(ISNUMBER(SEARCH(" "&amp;$T117&amp;" "," "&amp;$J$4&amp;" ")),"OUI",""))</f>
        <v/>
      </c>
      <c r="W117" s="1192">
        <f>IF($V117="OUI",$U117,0)</f>
        <v>0</v>
      </c>
      <c r="X117" s="1191" t="s">
        <v>3958</v>
      </c>
      <c r="Y117" s="1190" t="s">
        <v>3959</v>
      </c>
      <c r="Z117" s="1189" t="str">
        <f>IF($V117="OUI",COUNTIF($V$10:V117,"OUI"),"")</f>
        <v/>
      </c>
      <c r="AA117" s="1188" t="str">
        <f>IF($V117="OUI",COUNTIFS($R$10:R117,$R117,$V$10:V117,"OUI"),"")</f>
        <v/>
      </c>
      <c r="AB117" s="1201" t="str">
        <f>IF(AND($V117="OUI",$AA117=1),$R117,"")</f>
        <v/>
      </c>
    </row>
    <row r="118" spans="1:28" ht="42" customHeight="1" x14ac:dyDescent="0.25">
      <c r="I118" s="993"/>
      <c r="Q118" s="993"/>
      <c r="R118" s="1200" t="s">
        <v>3657</v>
      </c>
      <c r="S118" s="1198" t="s">
        <v>3700</v>
      </c>
      <c r="T118" s="1198" t="s">
        <v>454</v>
      </c>
      <c r="U118" s="1199">
        <v>1</v>
      </c>
      <c r="V118" s="1198" t="str">
        <f>IF($T118="","",IF(ISNUMBER(SEARCH(" "&amp;$T118&amp;" "," "&amp;$J$4&amp;" ")),"OUI",""))</f>
        <v/>
      </c>
      <c r="W118" s="1199">
        <f>IF($V118="OUI",$U118,0)</f>
        <v>0</v>
      </c>
      <c r="X118" s="1198" t="s">
        <v>3960</v>
      </c>
      <c r="Y118" s="1197" t="s">
        <v>3961</v>
      </c>
      <c r="Z118" s="1189" t="str">
        <f>IF($V118="OUI",COUNTIF($V$10:V118,"OUI"),"")</f>
        <v/>
      </c>
      <c r="AA118" s="1188" t="str">
        <f>IF($V118="OUI",COUNTIFS($R$10:R118,$R118,$V$10:V118,"OUI"),"")</f>
        <v/>
      </c>
      <c r="AB118" s="1188" t="str">
        <f>IF(AND($V118="OUI",$AA118=1),$R118,"")</f>
        <v/>
      </c>
    </row>
    <row r="119" spans="1:28" ht="42" customHeight="1" x14ac:dyDescent="0.25">
      <c r="I119" s="993"/>
      <c r="Q119" s="993"/>
      <c r="R119" s="1196" t="s">
        <v>3657</v>
      </c>
      <c r="S119" s="58" t="s">
        <v>3700</v>
      </c>
      <c r="T119" s="58" t="s">
        <v>1493</v>
      </c>
      <c r="U119" s="1195">
        <v>1</v>
      </c>
      <c r="V119" s="58" t="str">
        <f>IF($T119="","",IF(ISNUMBER(SEARCH(" "&amp;$T119&amp;" "," "&amp;$J$4&amp;" ")),"OUI",""))</f>
        <v/>
      </c>
      <c r="W119" s="1195">
        <f>IF($V119="OUI",$U119,0)</f>
        <v>0</v>
      </c>
      <c r="X119" s="58" t="s">
        <v>3962</v>
      </c>
      <c r="Y119" s="1194" t="s">
        <v>3963</v>
      </c>
      <c r="Z119" s="1189" t="str">
        <f>IF($V119="OUI",COUNTIF($V$10:V119,"OUI"),"")</f>
        <v/>
      </c>
      <c r="AA119" s="1188" t="str">
        <f>IF($V119="OUI",COUNTIFS($R$10:R119,$R119,$V$10:V119,"OUI"),"")</f>
        <v/>
      </c>
      <c r="AB119" s="1188" t="str">
        <f>IF(AND($V119="OUI",$AA119=1),$R119,"")</f>
        <v/>
      </c>
    </row>
    <row r="120" spans="1:28" ht="42" customHeight="1" x14ac:dyDescent="0.25">
      <c r="I120" s="993"/>
      <c r="Q120" s="993"/>
      <c r="R120" s="1196" t="s">
        <v>3657</v>
      </c>
      <c r="S120" s="58" t="s">
        <v>3700</v>
      </c>
      <c r="T120" s="58" t="s">
        <v>494</v>
      </c>
      <c r="U120" s="1195">
        <v>1</v>
      </c>
      <c r="V120" s="58" t="str">
        <f>IF($T120="","",IF(ISNUMBER(SEARCH(" "&amp;$T120&amp;" "," "&amp;$J$4&amp;" ")),"OUI",""))</f>
        <v>OUI</v>
      </c>
      <c r="W120" s="1195">
        <f>IF($V120="OUI",$U120,0)</f>
        <v>1</v>
      </c>
      <c r="X120" s="58" t="s">
        <v>3964</v>
      </c>
      <c r="Y120" s="1194" t="s">
        <v>3842</v>
      </c>
      <c r="Z120" s="1189">
        <f>IF($V120="OUI",COUNTIF($V$10:V120,"OUI"),"")</f>
        <v>17</v>
      </c>
      <c r="AA120" s="1188">
        <f>IF($V120="OUI",COUNTIFS($R$10:R120,$R120,$V$10:V120,"OUI"),"")</f>
        <v>5</v>
      </c>
      <c r="AB120" s="1188" t="str">
        <f>IF(AND($V120="OUI",$AA120=1),$R120,"")</f>
        <v/>
      </c>
    </row>
    <row r="121" spans="1:28" ht="42" customHeight="1" x14ac:dyDescent="0.25">
      <c r="I121" s="993"/>
      <c r="Q121" s="993"/>
      <c r="R121" s="1196" t="s">
        <v>3657</v>
      </c>
      <c r="S121" s="58" t="s">
        <v>3700</v>
      </c>
      <c r="T121" s="58" t="s">
        <v>1504</v>
      </c>
      <c r="U121" s="1195">
        <v>1</v>
      </c>
      <c r="V121" s="58" t="str">
        <f>IF($T121="","",IF(ISNUMBER(SEARCH(" "&amp;$T121&amp;" "," "&amp;$J$4&amp;" ")),"OUI",""))</f>
        <v/>
      </c>
      <c r="W121" s="1195">
        <f>IF($V121="OUI",$U121,0)</f>
        <v>0</v>
      </c>
      <c r="X121" s="58" t="s">
        <v>3965</v>
      </c>
      <c r="Y121" s="1194" t="s">
        <v>3966</v>
      </c>
      <c r="Z121" s="1189" t="str">
        <f>IF($V121="OUI",COUNTIF($V$10:V121,"OUI"),"")</f>
        <v/>
      </c>
      <c r="AA121" s="1188" t="str">
        <f>IF($V121="OUI",COUNTIFS($R$10:R121,$R121,$V$10:V121,"OUI"),"")</f>
        <v/>
      </c>
      <c r="AB121" s="1188" t="str">
        <f>IF(AND($V121="OUI",$AA121=1),$R121,"")</f>
        <v/>
      </c>
    </row>
    <row r="122" spans="1:28" ht="42" customHeight="1" x14ac:dyDescent="0.25">
      <c r="I122" s="993"/>
      <c r="Q122" s="993"/>
      <c r="R122" s="1196" t="s">
        <v>3657</v>
      </c>
      <c r="S122" s="58" t="s">
        <v>3700</v>
      </c>
      <c r="T122" s="58" t="s">
        <v>3967</v>
      </c>
      <c r="U122" s="1195">
        <v>1</v>
      </c>
      <c r="V122" s="58" t="str">
        <f>IF($T122="","",IF(ISNUMBER(SEARCH(" "&amp;$T122&amp;" "," "&amp;$J$4&amp;" ")),"OUI",""))</f>
        <v/>
      </c>
      <c r="W122" s="1195">
        <f>IF($V122="OUI",$U122,0)</f>
        <v>0</v>
      </c>
      <c r="X122" s="58" t="s">
        <v>3968</v>
      </c>
      <c r="Y122" s="1194" t="s">
        <v>3969</v>
      </c>
      <c r="Z122" s="1189" t="str">
        <f>IF($V122="OUI",COUNTIF($V$10:V122,"OUI"),"")</f>
        <v/>
      </c>
      <c r="AA122" s="1188" t="str">
        <f>IF($V122="OUI",COUNTIFS($R$10:R122,$R122,$V$10:V122,"OUI"),"")</f>
        <v/>
      </c>
      <c r="AB122" s="1188" t="str">
        <f>IF(AND($V122="OUI",$AA122=1),$R122,"")</f>
        <v/>
      </c>
    </row>
    <row r="123" spans="1:28" ht="42" customHeight="1" x14ac:dyDescent="0.25">
      <c r="I123" s="993"/>
      <c r="Q123" s="993"/>
      <c r="R123" s="1196" t="s">
        <v>3657</v>
      </c>
      <c r="S123" s="58" t="s">
        <v>3700</v>
      </c>
      <c r="T123" s="58" t="s">
        <v>2406</v>
      </c>
      <c r="U123" s="1195">
        <v>1</v>
      </c>
      <c r="V123" s="58" t="str">
        <f>IF($T123="","",IF(ISNUMBER(SEARCH(" "&amp;$T123&amp;" "," "&amp;$J$4&amp;" ")),"OUI",""))</f>
        <v/>
      </c>
      <c r="W123" s="1195">
        <f>IF($V123="OUI",$U123,0)</f>
        <v>0</v>
      </c>
      <c r="X123" s="58" t="s">
        <v>3970</v>
      </c>
      <c r="Y123" s="1194" t="s">
        <v>3971</v>
      </c>
      <c r="Z123" s="1189" t="str">
        <f>IF($V123="OUI",COUNTIF($V$10:V123,"OUI"),"")</f>
        <v/>
      </c>
      <c r="AA123" s="1188" t="str">
        <f>IF($V123="OUI",COUNTIFS($R$10:R123,$R123,$V$10:V123,"OUI"),"")</f>
        <v/>
      </c>
      <c r="AB123" s="1188" t="str">
        <f>IF(AND($V123="OUI",$AA123=1),$R123,"")</f>
        <v/>
      </c>
    </row>
    <row r="124" spans="1:28" ht="42" customHeight="1" x14ac:dyDescent="0.25">
      <c r="I124" s="993"/>
      <c r="Q124" s="993"/>
      <c r="R124" s="1196" t="s">
        <v>1237</v>
      </c>
      <c r="S124" s="58" t="s">
        <v>3700</v>
      </c>
      <c r="T124" s="58" t="s">
        <v>2017</v>
      </c>
      <c r="U124" s="1195">
        <v>1</v>
      </c>
      <c r="V124" s="58" t="str">
        <f>IF($T124="","",IF(ISNUMBER(SEARCH(" "&amp;$T124&amp;" "," "&amp;$J$4&amp;" ")),"OUI",""))</f>
        <v/>
      </c>
      <c r="W124" s="1195">
        <f>IF($V124="OUI",$U124,0)</f>
        <v>0</v>
      </c>
      <c r="X124" s="58" t="s">
        <v>3972</v>
      </c>
      <c r="Y124" s="1194" t="s">
        <v>3973</v>
      </c>
      <c r="Z124" s="1189" t="str">
        <f>IF($V124="OUI",COUNTIF($V$10:V124,"OUI"),"")</f>
        <v/>
      </c>
      <c r="AA124" s="1188" t="str">
        <f>IF($V124="OUI",COUNTIFS($R$10:R124,$R124,$V$10:V124,"OUI"),"")</f>
        <v/>
      </c>
      <c r="AB124" s="1188" t="str">
        <f>IF(AND($V124="OUI",$AA124=1),$R124,"")</f>
        <v/>
      </c>
    </row>
    <row r="125" spans="1:28" ht="42" customHeight="1" x14ac:dyDescent="0.25">
      <c r="I125" s="993"/>
      <c r="Q125" s="993"/>
      <c r="R125" s="1196" t="s">
        <v>328</v>
      </c>
      <c r="S125" s="58" t="s">
        <v>3631</v>
      </c>
      <c r="T125" s="58" t="s">
        <v>3974</v>
      </c>
      <c r="U125" s="1195">
        <v>2</v>
      </c>
      <c r="V125" s="58" t="str">
        <f>IF($T125="","",IF(ISNUMBER(SEARCH(" "&amp;$T125&amp;" "," "&amp;$J$4&amp;" ")),"OUI",""))</f>
        <v/>
      </c>
      <c r="W125" s="1195">
        <f>IF($V125="OUI",$U125,0)</f>
        <v>0</v>
      </c>
      <c r="X125" s="58" t="s">
        <v>3975</v>
      </c>
      <c r="Y125" s="1194" t="s">
        <v>3976</v>
      </c>
      <c r="Z125" s="1189" t="str">
        <f>IF($V125="OUI",COUNTIF($V$10:V125,"OUI"),"")</f>
        <v/>
      </c>
      <c r="AA125" s="1188" t="str">
        <f>IF($V125="OUI",COUNTIFS($R$10:R125,$R125,$V$10:V125,"OUI"),"")</f>
        <v/>
      </c>
      <c r="AB125" s="1188" t="str">
        <f>IF(AND($V125="OUI",$AA125=1),$R125,"")</f>
        <v/>
      </c>
    </row>
    <row r="126" spans="1:28" ht="42" customHeight="1" x14ac:dyDescent="0.25">
      <c r="I126" s="993"/>
      <c r="Q126" s="993"/>
      <c r="R126" s="1196" t="s">
        <v>328</v>
      </c>
      <c r="S126" s="58" t="s">
        <v>3631</v>
      </c>
      <c r="T126" s="58" t="s">
        <v>3977</v>
      </c>
      <c r="U126" s="1195">
        <v>2</v>
      </c>
      <c r="V126" s="58" t="str">
        <f>IF($T126="","",IF(ISNUMBER(SEARCH(" "&amp;$T126&amp;" "," "&amp;$J$4&amp;" ")),"OUI",""))</f>
        <v/>
      </c>
      <c r="W126" s="1195">
        <f>IF($V126="OUI",$U126,0)</f>
        <v>0</v>
      </c>
      <c r="X126" s="58" t="s">
        <v>3975</v>
      </c>
      <c r="Y126" s="1194" t="s">
        <v>3978</v>
      </c>
      <c r="Z126" s="1189" t="str">
        <f>IF($V126="OUI",COUNTIF($V$10:V126,"OUI"),"")</f>
        <v/>
      </c>
      <c r="AA126" s="1188" t="str">
        <f>IF($V126="OUI",COUNTIFS($R$10:R126,$R126,$V$10:V126,"OUI"),"")</f>
        <v/>
      </c>
      <c r="AB126" s="1188" t="str">
        <f>IF(AND($V126="OUI",$AA126=1),$R126,"")</f>
        <v/>
      </c>
    </row>
    <row r="127" spans="1:28" ht="42" customHeight="1" x14ac:dyDescent="0.25">
      <c r="I127" s="993"/>
      <c r="Q127" s="993"/>
      <c r="R127" s="1196" t="s">
        <v>3625</v>
      </c>
      <c r="S127" s="58" t="s">
        <v>3631</v>
      </c>
      <c r="T127" s="58" t="s">
        <v>3979</v>
      </c>
      <c r="U127" s="1195">
        <v>2</v>
      </c>
      <c r="V127" s="58" t="str">
        <f>IF($T127="","",IF(ISNUMBER(SEARCH(" "&amp;$T127&amp;" "," "&amp;$J$4&amp;" ")),"OUI",""))</f>
        <v/>
      </c>
      <c r="W127" s="1195">
        <f>IF($V127="OUI",$U127,0)</f>
        <v>0</v>
      </c>
      <c r="X127" s="58" t="s">
        <v>3980</v>
      </c>
      <c r="Y127" s="1194" t="s">
        <v>3981</v>
      </c>
      <c r="Z127" s="1189" t="str">
        <f>IF($V127="OUI",COUNTIF($V$10:V127,"OUI"),"")</f>
        <v/>
      </c>
      <c r="AA127" s="1188" t="str">
        <f>IF($V127="OUI",COUNTIFS($R$10:R127,$R127,$V$10:V127,"OUI"),"")</f>
        <v/>
      </c>
      <c r="AB127" s="1188" t="str">
        <f>IF(AND($V127="OUI",$AA127=1),$R127,"")</f>
        <v/>
      </c>
    </row>
    <row r="128" spans="1:28" ht="42" customHeight="1" x14ac:dyDescent="0.25">
      <c r="I128" s="993"/>
      <c r="Q128" s="993"/>
      <c r="R128" s="1196" t="s">
        <v>3628</v>
      </c>
      <c r="S128" s="58" t="s">
        <v>3631</v>
      </c>
      <c r="T128" s="58" t="s">
        <v>3982</v>
      </c>
      <c r="U128" s="1195">
        <v>2</v>
      </c>
      <c r="V128" s="58" t="str">
        <f>IF($T128="","",IF(ISNUMBER(SEARCH(" "&amp;$T128&amp;" "," "&amp;$J$4&amp;" ")),"OUI",""))</f>
        <v/>
      </c>
      <c r="W128" s="1195">
        <f>IF($V128="OUI",$U128,0)</f>
        <v>0</v>
      </c>
      <c r="X128" s="58" t="s">
        <v>3983</v>
      </c>
      <c r="Y128" s="1194" t="s">
        <v>3984</v>
      </c>
      <c r="Z128" s="1189" t="str">
        <f>IF($V128="OUI",COUNTIF($V$10:V128,"OUI"),"")</f>
        <v/>
      </c>
      <c r="AA128" s="1188" t="str">
        <f>IF($V128="OUI",COUNTIFS($R$10:R128,$R128,$V$10:V128,"OUI"),"")</f>
        <v/>
      </c>
      <c r="AB128" s="1188" t="str">
        <f>IF(AND($V128="OUI",$AA128=1),$R128,"")</f>
        <v/>
      </c>
    </row>
    <row r="129" spans="9:28" ht="42" customHeight="1" x14ac:dyDescent="0.25">
      <c r="I129" s="993"/>
      <c r="Q129" s="993"/>
      <c r="R129" s="1193" t="s">
        <v>3635</v>
      </c>
      <c r="S129" s="1191" t="s">
        <v>3631</v>
      </c>
      <c r="T129" s="1191" t="s">
        <v>3985</v>
      </c>
      <c r="U129" s="1192">
        <v>2</v>
      </c>
      <c r="V129" s="1191" t="str">
        <f>IF($T129="","",IF(ISNUMBER(SEARCH(" "&amp;$T129&amp;" "," "&amp;$J$4&amp;" ")),"OUI",""))</f>
        <v/>
      </c>
      <c r="W129" s="1192">
        <f>IF($V129="OUI",$U129,0)</f>
        <v>0</v>
      </c>
      <c r="X129" s="1191" t="s">
        <v>3986</v>
      </c>
      <c r="Y129" s="1190" t="s">
        <v>3782</v>
      </c>
      <c r="Z129" s="1189" t="str">
        <f>IF($V129="OUI",COUNTIF($V$10:V129,"OUI"),"")</f>
        <v/>
      </c>
      <c r="AA129" s="1188" t="str">
        <f>IF($V129="OUI",COUNTIFS($R$10:R129,$R129,$V$10:V129,"OUI"),"")</f>
        <v/>
      </c>
      <c r="AB129" s="1188" t="str">
        <f>IF(AND($V129="OUI",$AA129=1),$R129,"")</f>
        <v/>
      </c>
    </row>
    <row r="130" spans="9:28" ht="42" customHeight="1" x14ac:dyDescent="0.25">
      <c r="I130" s="993"/>
      <c r="Q130" s="993"/>
      <c r="Z130" s="1189" t="str">
        <f>IF($V130="OUI",COUNTIF($V$10:V130,"OUI"),"")</f>
        <v/>
      </c>
      <c r="AA130" s="1188" t="str">
        <f>IF($V130="OUI",COUNTIFS($R$10:R130,$R130,$V$10:V130,"OUI"),"")</f>
        <v/>
      </c>
      <c r="AB130" s="1188" t="str">
        <f>IF(AND($V130="OUI",$AA130=1),$R130,"")</f>
        <v/>
      </c>
    </row>
    <row r="131" spans="9:28" ht="42" customHeight="1" x14ac:dyDescent="0.25">
      <c r="Z131" s="1189" t="str">
        <f>IF($V131="OUI",COUNTIF($V$10:V131,"OUI"),"")</f>
        <v/>
      </c>
      <c r="AA131" s="1188" t="str">
        <f>IF($V131="OUI",COUNTIFS($R$10:R131,$R131,$V$10:V131,"OUI"),"")</f>
        <v/>
      </c>
      <c r="AB131" s="1188" t="str">
        <f>IF(AND($V131="OUI",$AA131=1),$R131,"")</f>
        <v/>
      </c>
    </row>
    <row r="132" spans="9:28" ht="42" customHeight="1" x14ac:dyDescent="0.25">
      <c r="Z132" s="1189" t="str">
        <f>IF($V132="OUI",COUNTIF($V$10:V132,"OUI"),"")</f>
        <v/>
      </c>
      <c r="AA132" s="1188" t="str">
        <f>IF($V132="OUI",COUNTIFS($R$10:R132,$R132,$V$10:V132,"OUI"),"")</f>
        <v/>
      </c>
      <c r="AB132" s="1188" t="str">
        <f>IF(AND($V132="OUI",$AA132=1),$R132,"")</f>
        <v/>
      </c>
    </row>
    <row r="133" spans="9:28" ht="42" customHeight="1" x14ac:dyDescent="0.25">
      <c r="Z133" s="1189" t="str">
        <f>IF($V133="OUI",COUNTIF($V$10:V133,"OUI"),"")</f>
        <v/>
      </c>
      <c r="AA133" s="1188" t="str">
        <f>IF($V133="OUI",COUNTIFS($R$10:R133,$R133,$V$10:V133,"OUI"),"")</f>
        <v/>
      </c>
      <c r="AB133" s="1188" t="str">
        <f>IF(AND($V133="OUI",$AA133=1),$R133,"")</f>
        <v/>
      </c>
    </row>
    <row r="134" spans="9:28" ht="42" customHeight="1" x14ac:dyDescent="0.25">
      <c r="Z134" s="1189" t="str">
        <f>IF($V134="OUI",COUNTIF($V$10:V134,"OUI"),"")</f>
        <v/>
      </c>
      <c r="AA134" s="1188" t="str">
        <f>IF($V134="OUI",COUNTIFS($R$10:R134,$R134,$V$10:V134,"OUI"),"")</f>
        <v/>
      </c>
      <c r="AB134" s="1188" t="str">
        <f>IF(AND($V134="OUI",$AA134=1),$R134,"")</f>
        <v/>
      </c>
    </row>
    <row r="135" spans="9:28" ht="42" customHeight="1" x14ac:dyDescent="0.25">
      <c r="Z135" s="1189" t="str">
        <f>IF($V135="OUI",COUNTIF($V$10:V135,"OUI"),"")</f>
        <v/>
      </c>
      <c r="AA135" s="1188" t="str">
        <f>IF($V135="OUI",COUNTIFS($R$10:R135,$R135,$V$10:V135,"OUI"),"")</f>
        <v/>
      </c>
      <c r="AB135" s="1188" t="str">
        <f>IF(AND($V135="OUI",$AA135=1),$R135,"")</f>
        <v/>
      </c>
    </row>
    <row r="136" spans="9:28" ht="42" customHeight="1" x14ac:dyDescent="0.25">
      <c r="Z136" s="1189" t="str">
        <f>IF($V136="OUI",COUNTIF($V$10:V136,"OUI"),"")</f>
        <v/>
      </c>
      <c r="AA136" s="1188" t="str">
        <f>IF($V136="OUI",COUNTIFS($R$10:R136,$R136,$V$10:V136,"OUI"),"")</f>
        <v/>
      </c>
      <c r="AB136" s="1188" t="str">
        <f>IF(AND($V136="OUI",$AA136=1),$R136,"")</f>
        <v/>
      </c>
    </row>
    <row r="137" spans="9:28" ht="42" customHeight="1" x14ac:dyDescent="0.25">
      <c r="Z137" s="1189" t="str">
        <f>IF($V137="OUI",COUNTIF($V$10:V137,"OUI"),"")</f>
        <v/>
      </c>
      <c r="AA137" s="1188" t="str">
        <f>IF($V137="OUI",COUNTIFS($R$10:R137,$R137,$V$10:V137,"OUI"),"")</f>
        <v/>
      </c>
      <c r="AB137" s="1188" t="str">
        <f>IF(AND($V137="OUI",$AA137=1),$R137,"")</f>
        <v/>
      </c>
    </row>
    <row r="138" spans="9:28" ht="42" customHeight="1" x14ac:dyDescent="0.25">
      <c r="Z138" s="1189" t="str">
        <f>IF($V138="OUI",COUNTIF($V$10:V138,"OUI"),"")</f>
        <v/>
      </c>
      <c r="AA138" s="1188" t="str">
        <f>IF($V138="OUI",COUNTIFS($R$10:R138,$R138,$V$10:V138,"OUI"),"")</f>
        <v/>
      </c>
      <c r="AB138" s="1188" t="str">
        <f>IF(AND($V138="OUI",$AA138=1),$R138,"")</f>
        <v/>
      </c>
    </row>
    <row r="139" spans="9:28" ht="42" customHeight="1" x14ac:dyDescent="0.25">
      <c r="Z139" s="1189" t="str">
        <f>IF($V139="OUI",COUNTIF($V$10:V139,"OUI"),"")</f>
        <v/>
      </c>
      <c r="AA139" s="1188" t="str">
        <f>IF($V139="OUI",COUNTIFS($R$10:R139,$R139,$V$10:V139,"OUI"),"")</f>
        <v/>
      </c>
      <c r="AB139" s="1188" t="str">
        <f>IF(AND($V139="OUI",$AA139=1),$R139,"")</f>
        <v/>
      </c>
    </row>
    <row r="140" spans="9:28" ht="42" customHeight="1" x14ac:dyDescent="0.25">
      <c r="Z140" s="1189" t="str">
        <f>IF($V140="OUI",COUNTIF($V$10:V140,"OUI"),"")</f>
        <v/>
      </c>
      <c r="AA140" s="1188" t="str">
        <f>IF($V140="OUI",COUNTIFS($R$10:R140,$R140,$V$10:V140,"OUI"),"")</f>
        <v/>
      </c>
      <c r="AB140" s="1188" t="str">
        <f>IF(AND($V140="OUI",$AA140=1),$R140,"")</f>
        <v/>
      </c>
    </row>
    <row r="141" spans="9:28" ht="42" customHeight="1" x14ac:dyDescent="0.25">
      <c r="Z141" s="1189" t="str">
        <f>IF($V141="OUI",COUNTIF($V$10:V141,"OUI"),"")</f>
        <v/>
      </c>
      <c r="AA141" s="1188" t="str">
        <f>IF($V141="OUI",COUNTIFS($R$10:R141,$R141,$V$10:V141,"OUI"),"")</f>
        <v/>
      </c>
      <c r="AB141" s="1188" t="str">
        <f>IF(AND($V141="OUI",$AA141=1),$R141,"")</f>
        <v/>
      </c>
    </row>
    <row r="142" spans="9:28" ht="42" customHeight="1" x14ac:dyDescent="0.25">
      <c r="Z142" s="1189" t="str">
        <f>IF($V142="OUI",COUNTIF($V$10:V142,"OUI"),"")</f>
        <v/>
      </c>
      <c r="AA142" s="1188" t="str">
        <f>IF($V142="OUI",COUNTIFS($R$10:R142,$R142,$V$10:V142,"OUI"),"")</f>
        <v/>
      </c>
      <c r="AB142" s="1188" t="str">
        <f>IF(AND($V142="OUI",$AA142=1),$R142,"")</f>
        <v/>
      </c>
    </row>
    <row r="143" spans="9:28" ht="42" customHeight="1" x14ac:dyDescent="0.25">
      <c r="Z143" s="1189" t="str">
        <f>IF($V143="OUI",COUNTIF($V$10:V143,"OUI"),"")</f>
        <v/>
      </c>
      <c r="AA143" s="1188" t="str">
        <f>IF($V143="OUI",COUNTIFS($R$10:R143,$R143,$V$10:V143,"OUI"),"")</f>
        <v/>
      </c>
      <c r="AB143" s="1188" t="str">
        <f>IF(AND($V143="OUI",$AA143=1),$R143,"")</f>
        <v/>
      </c>
    </row>
    <row r="144" spans="9:28" ht="42" customHeight="1" x14ac:dyDescent="0.25">
      <c r="Z144" s="1189" t="str">
        <f>IF($V144="OUI",COUNTIF($V$10:V144,"OUI"),"")</f>
        <v/>
      </c>
      <c r="AA144" s="1188" t="str">
        <f>IF($V144="OUI",COUNTIFS($R$10:R144,$R144,$V$10:V144,"OUI"),"")</f>
        <v/>
      </c>
      <c r="AB144" s="1188" t="str">
        <f>IF(AND($V144="OUI",$AA144=1),$R144,"")</f>
        <v/>
      </c>
    </row>
    <row r="145" spans="26:28" ht="42" customHeight="1" x14ac:dyDescent="0.25">
      <c r="Z145" s="1189" t="str">
        <f>IF($V145="OUI",COUNTIF($V$10:V145,"OUI"),"")</f>
        <v/>
      </c>
      <c r="AA145" s="1188" t="str">
        <f>IF($V145="OUI",COUNTIFS($R$10:R145,$R145,$V$10:V145,"OUI"),"")</f>
        <v/>
      </c>
      <c r="AB145" s="1188" t="str">
        <f>IF(AND($V145="OUI",$AA145=1),$R145,"")</f>
        <v/>
      </c>
    </row>
    <row r="146" spans="26:28" ht="42" customHeight="1" x14ac:dyDescent="0.25">
      <c r="Z146" s="1189" t="str">
        <f>IF($V146="OUI",COUNTIF($V$10:V146,"OUI"),"")</f>
        <v/>
      </c>
      <c r="AA146" s="1188" t="str">
        <f>IF($V146="OUI",COUNTIFS($R$10:R146,$R146,$V$10:V146,"OUI"),"")</f>
        <v/>
      </c>
      <c r="AB146" s="1188" t="str">
        <f>IF(AND($V146="OUI",$AA146=1),$R146,"")</f>
        <v/>
      </c>
    </row>
    <row r="147" spans="26:28" ht="42" customHeight="1" x14ac:dyDescent="0.25">
      <c r="Z147" s="1189" t="str">
        <f>IF($V147="OUI",COUNTIF($V$10:V147,"OUI"),"")</f>
        <v/>
      </c>
      <c r="AA147" s="1188" t="str">
        <f>IF($V147="OUI",COUNTIFS($R$10:R147,$R147,$V$10:V147,"OUI"),"")</f>
        <v/>
      </c>
      <c r="AB147" s="1188" t="str">
        <f>IF(AND($V147="OUI",$AA147=1),$R147,"")</f>
        <v/>
      </c>
    </row>
    <row r="148" spans="26:28" ht="42" customHeight="1" x14ac:dyDescent="0.25">
      <c r="Z148" s="1189" t="str">
        <f>IF($V148="OUI",COUNTIF($V$10:V148,"OUI"),"")</f>
        <v/>
      </c>
      <c r="AA148" s="1188" t="str">
        <f>IF($V148="OUI",COUNTIFS($R$10:R148,$R148,$V$10:V148,"OUI"),"")</f>
        <v/>
      </c>
      <c r="AB148" s="1188" t="str">
        <f>IF(AND($V148="OUI",$AA148=1),$R148,"")</f>
        <v/>
      </c>
    </row>
    <row r="149" spans="26:28" ht="42" customHeight="1" x14ac:dyDescent="0.25">
      <c r="Z149" s="1189" t="str">
        <f>IF($V149="OUI",COUNTIF($V$10:V149,"OUI"),"")</f>
        <v/>
      </c>
      <c r="AA149" s="1188" t="str">
        <f>IF($V149="OUI",COUNTIFS($R$10:R149,$R149,$V$10:V149,"OUI"),"")</f>
        <v/>
      </c>
      <c r="AB149" s="1188" t="str">
        <f>IF(AND($V149="OUI",$AA149=1),$R149,"")</f>
        <v/>
      </c>
    </row>
    <row r="150" spans="26:28" ht="42" customHeight="1" x14ac:dyDescent="0.25">
      <c r="Z150" s="1189" t="str">
        <f>IF($V150="OUI",COUNTIF($V$10:V150,"OUI"),"")</f>
        <v/>
      </c>
      <c r="AA150" s="1188" t="str">
        <f>IF($V150="OUI",COUNTIFS($R$10:R150,$R150,$V$10:V150,"OUI"),"")</f>
        <v/>
      </c>
      <c r="AB150" s="1188" t="str">
        <f>IF(AND($V150="OUI",$AA150=1),$R150,"")</f>
        <v/>
      </c>
    </row>
    <row r="151" spans="26:28" ht="42" customHeight="1" x14ac:dyDescent="0.25">
      <c r="Z151" s="1189" t="str">
        <f>IF($V151="OUI",COUNTIF($V$10:V151,"OUI"),"")</f>
        <v/>
      </c>
      <c r="AA151" s="1188" t="str">
        <f>IF($V151="OUI",COUNTIFS($R$10:R151,$R151,$V$10:V151,"OUI"),"")</f>
        <v/>
      </c>
      <c r="AB151" s="1188" t="str">
        <f>IF(AND($V151="OUI",$AA151=1),$R151,"")</f>
        <v/>
      </c>
    </row>
    <row r="152" spans="26:28" ht="42" customHeight="1" x14ac:dyDescent="0.25">
      <c r="Z152" s="1189" t="str">
        <f>IF($V152="OUI",COUNTIF($V$10:V152,"OUI"),"")</f>
        <v/>
      </c>
      <c r="AA152" s="1188" t="str">
        <f>IF($V152="OUI",COUNTIFS($R$10:R152,$R152,$V$10:V152,"OUI"),"")</f>
        <v/>
      </c>
      <c r="AB152" s="1188" t="str">
        <f>IF(AND($V152="OUI",$AA152=1),$R152,"")</f>
        <v/>
      </c>
    </row>
    <row r="153" spans="26:28" ht="42" customHeight="1" x14ac:dyDescent="0.25">
      <c r="Z153" s="1189" t="str">
        <f>IF($V153="OUI",COUNTIF($V$10:V153,"OUI"),"")</f>
        <v/>
      </c>
      <c r="AA153" s="1188" t="str">
        <f>IF($V153="OUI",COUNTIFS($R$10:R153,$R153,$V$10:V153,"OUI"),"")</f>
        <v/>
      </c>
      <c r="AB153" s="1188" t="str">
        <f>IF(AND($V153="OUI",$AA153=1),$R153,"")</f>
        <v/>
      </c>
    </row>
    <row r="154" spans="26:28" ht="42" customHeight="1" x14ac:dyDescent="0.25">
      <c r="Z154" s="1189" t="str">
        <f>IF($V154="OUI",COUNTIF($V$10:V154,"OUI"),"")</f>
        <v/>
      </c>
      <c r="AA154" s="1188" t="str">
        <f>IF($V154="OUI",COUNTIFS($R$10:R154,$R154,$V$10:V154,"OUI"),"")</f>
        <v/>
      </c>
      <c r="AB154" s="1188" t="str">
        <f>IF(AND($V154="OUI",$AA154=1),$R154,"")</f>
        <v/>
      </c>
    </row>
    <row r="155" spans="26:28" ht="42" customHeight="1" x14ac:dyDescent="0.25">
      <c r="Z155" s="1189" t="str">
        <f>IF($V155="OUI",COUNTIF($V$10:V155,"OUI"),"")</f>
        <v/>
      </c>
      <c r="AA155" s="1188" t="str">
        <f>IF($V155="OUI",COUNTIFS($R$10:R155,$R155,$V$10:V155,"OUI"),"")</f>
        <v/>
      </c>
      <c r="AB155" s="1188" t="str">
        <f>IF(AND($V155="OUI",$AA155=1),$R155,"")</f>
        <v/>
      </c>
    </row>
    <row r="156" spans="26:28" ht="42" customHeight="1" x14ac:dyDescent="0.25">
      <c r="Z156" s="1189" t="str">
        <f>IF($V156="OUI",COUNTIF($V$10:V156,"OUI"),"")</f>
        <v/>
      </c>
      <c r="AA156" s="1188" t="str">
        <f>IF($V156="OUI",COUNTIFS($R$10:R156,$R156,$V$10:V156,"OUI"),"")</f>
        <v/>
      </c>
      <c r="AB156" s="1188" t="str">
        <f>IF(AND($V156="OUI",$AA156=1),$R156,"")</f>
        <v/>
      </c>
    </row>
    <row r="157" spans="26:28" ht="42" customHeight="1" x14ac:dyDescent="0.25">
      <c r="Z157" s="1189" t="str">
        <f>IF($V157="OUI",COUNTIF($V$10:V157,"OUI"),"")</f>
        <v/>
      </c>
      <c r="AA157" s="1188" t="str">
        <f>IF($V157="OUI",COUNTIFS($R$10:R157,$R157,$V$10:V157,"OUI"),"")</f>
        <v/>
      </c>
      <c r="AB157" s="1188" t="str">
        <f>IF(AND($V157="OUI",$AA157=1),$R157,"")</f>
        <v/>
      </c>
    </row>
    <row r="158" spans="26:28" ht="42" customHeight="1" x14ac:dyDescent="0.25">
      <c r="Z158" s="1189" t="str">
        <f>IF($V158="OUI",COUNTIF($V$10:V158,"OUI"),"")</f>
        <v/>
      </c>
      <c r="AA158" s="1188" t="str">
        <f>IF($V158="OUI",COUNTIFS($R$10:R158,$R158,$V$10:V158,"OUI"),"")</f>
        <v/>
      </c>
      <c r="AB158" s="1188" t="str">
        <f>IF(AND($V158="OUI",$AA158=1),$R158,"")</f>
        <v/>
      </c>
    </row>
    <row r="159" spans="26:28" ht="42" customHeight="1" x14ac:dyDescent="0.25">
      <c r="Z159" s="1189" t="str">
        <f>IF($V159="OUI",COUNTIF($V$10:V159,"OUI"),"")</f>
        <v/>
      </c>
      <c r="AA159" s="1188" t="str">
        <f>IF($V159="OUI",COUNTIFS($R$10:R159,$R159,$V$10:V159,"OUI"),"")</f>
        <v/>
      </c>
      <c r="AB159" s="1188" t="str">
        <f>IF(AND($V159="OUI",$AA159=1),$R159,"")</f>
        <v/>
      </c>
    </row>
    <row r="160" spans="26:28" ht="42" customHeight="1" x14ac:dyDescent="0.25">
      <c r="Z160" s="1189" t="str">
        <f>IF($V160="OUI",COUNTIF($V$10:V160,"OUI"),"")</f>
        <v/>
      </c>
      <c r="AA160" s="1188" t="str">
        <f>IF($V160="OUI",COUNTIFS($R$10:R160,$R160,$V$10:V160,"OUI"),"")</f>
        <v/>
      </c>
      <c r="AB160" s="1188" t="str">
        <f>IF(AND($V160="OUI",$AA160=1),$R160,"")</f>
        <v/>
      </c>
    </row>
    <row r="161" spans="1:28" ht="42" customHeight="1" x14ac:dyDescent="0.25">
      <c r="Z161" s="1189" t="str">
        <f>IF($V161="OUI",COUNTIF($V$10:V161,"OUI"),"")</f>
        <v/>
      </c>
      <c r="AA161" s="1188" t="str">
        <f>IF($V161="OUI",COUNTIFS($R$10:R161,$R161,$V$10:V161,"OUI"),"")</f>
        <v/>
      </c>
      <c r="AB161" s="1188" t="str">
        <f>IF(AND($V161="OUI",$AA161=1),$R161,"")</f>
        <v/>
      </c>
    </row>
    <row r="162" spans="1:28" ht="42" customHeight="1" x14ac:dyDescent="0.25">
      <c r="Z162" s="1189" t="str">
        <f>IF($V162="OUI",COUNTIF($V$10:V162,"OUI"),"")</f>
        <v/>
      </c>
      <c r="AA162" s="1188" t="str">
        <f>IF($V162="OUI",COUNTIFS($R$10:R162,$R162,$V$10:V162,"OUI"),"")</f>
        <v/>
      </c>
      <c r="AB162" s="1188" t="str">
        <f>IF(AND($V162="OUI",$AA162=1),$R162,"")</f>
        <v/>
      </c>
    </row>
    <row r="163" spans="1:28" ht="42" customHeight="1" x14ac:dyDescent="0.25">
      <c r="Z163" s="1189" t="str">
        <f>IF($V163="OUI",COUNTIF($V$10:V163,"OUI"),"")</f>
        <v/>
      </c>
      <c r="AA163" s="1188" t="str">
        <f>IF($V163="OUI",COUNTIFS($R$10:R163,$R163,$V$10:V163,"OUI"),"")</f>
        <v/>
      </c>
      <c r="AB163" s="1188" t="str">
        <f>IF(AND($V163="OUI",$AA163=1),$R163,"")</f>
        <v/>
      </c>
    </row>
    <row r="164" spans="1:28" ht="42" customHeight="1" x14ac:dyDescent="0.25">
      <c r="Z164" s="1189" t="str">
        <f>IF($V164="OUI",COUNTIF($V$10:V164,"OUI"),"")</f>
        <v/>
      </c>
      <c r="AA164" s="1188" t="str">
        <f>IF($V164="OUI",COUNTIFS($R$10:R164,$R164,$V$10:V164,"OUI"),"")</f>
        <v/>
      </c>
      <c r="AB164" s="1188" t="str">
        <f>IF(AND($V164="OUI",$AA164=1),$R164,"")</f>
        <v/>
      </c>
    </row>
    <row r="165" spans="1:28" ht="42" customHeight="1" x14ac:dyDescent="0.25">
      <c r="Z165" s="1189" t="str">
        <f>IF($V165="OUI",COUNTIF($V$10:V165,"OUI"),"")</f>
        <v/>
      </c>
      <c r="AA165" s="1188" t="str">
        <f>IF($V165="OUI",COUNTIFS($R$10:R165,$R165,$V$10:V165,"OUI"),"")</f>
        <v/>
      </c>
      <c r="AB165" s="1188" t="str">
        <f>IF(AND($V165="OUI",$AA165=1),$R165,"")</f>
        <v/>
      </c>
    </row>
    <row r="166" spans="1:28" ht="42" customHeight="1" x14ac:dyDescent="0.25">
      <c r="Z166" s="1189" t="str">
        <f>IF($V166="OUI",COUNTIF($V$10:V166,"OUI"),"")</f>
        <v/>
      </c>
      <c r="AA166" s="1188" t="str">
        <f>IF($V166="OUI",COUNTIFS($R$10:R166,$R166,$V$10:V166,"OUI"),"")</f>
        <v/>
      </c>
      <c r="AB166" s="1188" t="str">
        <f>IF(AND($V166="OUI",$AA166=1),$R166,"")</f>
        <v/>
      </c>
    </row>
    <row r="167" spans="1:28" ht="42" customHeight="1" x14ac:dyDescent="0.25">
      <c r="Z167" s="1189" t="str">
        <f>IF($V167="OUI",COUNTIF($V$10:V167,"OUI"),"")</f>
        <v/>
      </c>
      <c r="AA167" s="1188" t="str">
        <f>IF($V167="OUI",COUNTIFS($R$10:R167,$R167,$V$10:V167,"OUI"),"")</f>
        <v/>
      </c>
      <c r="AB167" s="1188" t="str">
        <f>IF(AND($V167="OUI",$AA167=1),$R167,"")</f>
        <v/>
      </c>
    </row>
    <row r="168" spans="1:28" ht="42" customHeight="1" x14ac:dyDescent="0.25">
      <c r="Z168" s="1189" t="str">
        <f>IF($V168="OUI",COUNTIF($V$10:V168,"OUI"),"")</f>
        <v/>
      </c>
      <c r="AA168" s="1188" t="str">
        <f>IF($V168="OUI",COUNTIFS($R$10:R168,$R168,$V$10:V168,"OUI"),"")</f>
        <v/>
      </c>
      <c r="AB168" s="1188" t="str">
        <f>IF(AND($V168="OUI",$AA168=1),$R168,"")</f>
        <v/>
      </c>
    </row>
    <row r="169" spans="1:28" ht="42" customHeight="1" x14ac:dyDescent="0.25">
      <c r="Z169" s="1189" t="str">
        <f>IF($V169="OUI",COUNTIF($V$10:V169,"OUI"),"")</f>
        <v/>
      </c>
      <c r="AA169" s="1188" t="str">
        <f>IF($V169="OUI",COUNTIFS($R$10:R169,$R169,$V$10:V169,"OUI"),"")</f>
        <v/>
      </c>
      <c r="AB169" s="1188" t="str">
        <f>IF(AND($V169="OUI",$AA169=1),$R169,"")</f>
        <v/>
      </c>
    </row>
    <row r="170" spans="1:28" ht="42" customHeight="1" x14ac:dyDescent="0.25">
      <c r="Z170" s="1189" t="str">
        <f>IF($V170="OUI",COUNTIF($V$10:V170,"OUI"),"")</f>
        <v/>
      </c>
      <c r="AA170" s="1188" t="str">
        <f>IF($V170="OUI",COUNTIFS($R$10:R170,$R170,$V$10:V170,"OUI"),"")</f>
        <v/>
      </c>
      <c r="AB170" s="1188" t="str">
        <f>IF(AND($V170="OUI",$AA170=1),$R170,"")</f>
        <v/>
      </c>
    </row>
    <row r="171" spans="1:28" x14ac:dyDescent="0.25">
      <c r="A171" s="1187"/>
      <c r="B171" s="1186"/>
      <c r="C171" s="1186"/>
      <c r="D171" s="1186"/>
      <c r="E171" s="1186"/>
      <c r="F171" s="1186"/>
      <c r="G171" s="1186"/>
      <c r="H171" s="1186"/>
      <c r="I171" s="1186"/>
      <c r="J171" s="1186"/>
      <c r="K171" s="1186"/>
      <c r="L171" s="1186"/>
      <c r="M171" s="1186"/>
      <c r="N171" s="1186"/>
      <c r="O171" s="1186"/>
      <c r="P171" s="1186"/>
      <c r="Q171" s="1186"/>
      <c r="R171" s="1186"/>
      <c r="S171" s="1186"/>
      <c r="T171" s="1186"/>
      <c r="U171" s="1185"/>
      <c r="V171" s="1186"/>
      <c r="W171" s="1185"/>
      <c r="X171" s="1186"/>
      <c r="Y171" s="1186"/>
      <c r="Z171" s="1185"/>
      <c r="AA171" s="1185"/>
      <c r="AB171" s="1185"/>
    </row>
  </sheetData>
  <mergeCells count="28">
    <mergeCell ref="B107:H107"/>
    <mergeCell ref="C109:E109"/>
    <mergeCell ref="I43:L43"/>
    <mergeCell ref="I44:L44"/>
    <mergeCell ref="C110:E110"/>
    <mergeCell ref="C111:E111"/>
    <mergeCell ref="C112:E112"/>
    <mergeCell ref="C113:E113"/>
    <mergeCell ref="I46:L46"/>
    <mergeCell ref="B84:H84"/>
    <mergeCell ref="B95:H95"/>
    <mergeCell ref="B96:H96"/>
    <mergeCell ref="I45:L45"/>
    <mergeCell ref="I21:O21"/>
    <mergeCell ref="I35:O35"/>
    <mergeCell ref="I36:L36"/>
    <mergeCell ref="I37:L37"/>
    <mergeCell ref="I38:L38"/>
    <mergeCell ref="I39:L39"/>
    <mergeCell ref="I40:L40"/>
    <mergeCell ref="I41:L41"/>
    <mergeCell ref="I42:L42"/>
    <mergeCell ref="B7:O7"/>
    <mergeCell ref="B2:H2"/>
    <mergeCell ref="I2:O2"/>
    <mergeCell ref="C4:H4"/>
    <mergeCell ref="C5:H5"/>
    <mergeCell ref="C6: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2FFD-CC81-40CD-B15B-8B32F8DDAA2A}">
  <dimension ref="A1:W503"/>
  <sheetViews>
    <sheetView workbookViewId="0">
      <selection activeCell="B3" sqref="B3"/>
    </sheetView>
  </sheetViews>
  <sheetFormatPr baseColWidth="10" defaultRowHeight="15" x14ac:dyDescent="0.25"/>
  <cols>
    <col min="2" max="2" width="45.7109375" customWidth="1"/>
    <col min="3" max="3" width="21.7109375" customWidth="1"/>
    <col min="4" max="4" width="11.7109375" customWidth="1"/>
    <col min="5" max="7" width="15.7109375" customWidth="1"/>
  </cols>
  <sheetData>
    <row r="1" spans="1:23" ht="30" customHeight="1" thickTop="1" x14ac:dyDescent="0.25">
      <c r="A1" s="269"/>
      <c r="B1" s="270" t="str">
        <f>SUBSTITUTE(ADDRESS(1,COLUMN(),4),"1","")</f>
        <v>B</v>
      </c>
      <c r="C1" s="270" t="str">
        <f>SUBSTITUTE(ADDRESS(1,COLUMN(),4),"1","")</f>
        <v>C</v>
      </c>
      <c r="D1" s="270" t="str">
        <f>SUBSTITUTE(ADDRESS(1,COLUMN(),4),"1","")</f>
        <v>D</v>
      </c>
      <c r="E1" s="270" t="str">
        <f>SUBSTITUTE(ADDRESS(1,COLUMN(),4),"1","")</f>
        <v>E</v>
      </c>
      <c r="F1" s="1104"/>
      <c r="G1" s="1104"/>
      <c r="H1" s="768" t="s">
        <v>4701</v>
      </c>
      <c r="I1" s="272"/>
      <c r="J1" s="272"/>
      <c r="K1" s="272"/>
      <c r="L1" s="272"/>
      <c r="M1" s="272"/>
      <c r="N1" s="272"/>
      <c r="O1" s="272"/>
      <c r="P1" s="272"/>
      <c r="Q1" s="272"/>
      <c r="R1" s="272"/>
      <c r="S1" s="272"/>
      <c r="T1" s="272"/>
      <c r="U1" s="272"/>
      <c r="V1" s="272"/>
      <c r="W1" s="272"/>
    </row>
    <row r="2" spans="1:23" ht="30" customHeight="1" x14ac:dyDescent="0.25">
      <c r="A2" s="269"/>
      <c r="B2" s="214">
        <f ca="1">CELL("largeur",B2)</f>
        <v>45</v>
      </c>
      <c r="C2" s="214">
        <f ca="1">CELL("largeur",C2)</f>
        <v>21</v>
      </c>
      <c r="D2" s="214">
        <f ca="1">CELL("largeur",D2)</f>
        <v>11</v>
      </c>
      <c r="E2" s="214">
        <f ca="1">CELL("largeur",E2)</f>
        <v>15</v>
      </c>
      <c r="F2" s="214"/>
      <c r="G2" s="214"/>
      <c r="H2" s="273" t="s">
        <v>3493</v>
      </c>
      <c r="I2" s="272"/>
      <c r="J2" s="272"/>
      <c r="K2" s="272"/>
      <c r="L2" s="272"/>
      <c r="M2" s="272"/>
      <c r="N2" s="272"/>
      <c r="O2" s="272"/>
      <c r="P2" s="272"/>
      <c r="Q2" s="272"/>
      <c r="R2" s="272"/>
      <c r="S2" s="272"/>
      <c r="T2" s="272"/>
      <c r="U2" s="272"/>
      <c r="V2" s="272"/>
      <c r="W2" s="272"/>
    </row>
    <row r="3" spans="1:23" ht="30" customHeight="1" x14ac:dyDescent="0.25">
      <c r="A3" s="269"/>
      <c r="B3" s="98" t="s">
        <v>5193</v>
      </c>
      <c r="H3" s="272"/>
      <c r="I3" s="272"/>
      <c r="J3" s="272"/>
      <c r="K3" s="272"/>
      <c r="L3" s="272"/>
      <c r="M3" s="272"/>
      <c r="N3" s="272"/>
      <c r="O3" s="272"/>
      <c r="P3" s="272"/>
      <c r="Q3" s="272"/>
      <c r="R3" s="272"/>
      <c r="S3" s="272"/>
      <c r="T3" s="272"/>
      <c r="U3" s="272"/>
      <c r="V3" s="272"/>
      <c r="W3" s="272"/>
    </row>
    <row r="4" spans="1:23" ht="30" customHeight="1" x14ac:dyDescent="0.25">
      <c r="A4" s="269"/>
      <c r="B4" s="267" t="s">
        <v>3552</v>
      </c>
      <c r="C4" s="267"/>
      <c r="D4" s="267"/>
      <c r="E4" s="267"/>
      <c r="F4" s="267"/>
      <c r="G4" s="267"/>
      <c r="H4" s="268" t="s">
        <v>3490</v>
      </c>
      <c r="I4" s="269"/>
      <c r="J4" s="269"/>
      <c r="K4" s="269"/>
      <c r="L4" s="269"/>
      <c r="M4" s="269"/>
      <c r="N4" s="269"/>
      <c r="O4" s="272"/>
      <c r="P4" s="272"/>
      <c r="Q4" s="272"/>
      <c r="R4" s="272"/>
      <c r="S4" s="272"/>
      <c r="T4" s="272"/>
      <c r="U4" s="272"/>
      <c r="V4" s="272"/>
      <c r="W4" s="272"/>
    </row>
    <row r="5" spans="1:23" ht="30" customHeight="1" x14ac:dyDescent="0.25">
      <c r="A5" s="269"/>
      <c r="B5" s="329" t="s">
        <v>4403</v>
      </c>
      <c r="C5" s="329"/>
      <c r="D5" s="329"/>
      <c r="E5" s="329"/>
      <c r="F5" s="329"/>
      <c r="G5" s="329"/>
      <c r="H5" s="329"/>
      <c r="I5" s="330"/>
      <c r="J5" s="330"/>
      <c r="K5" s="330"/>
      <c r="L5" s="330"/>
      <c r="M5" s="330"/>
      <c r="N5" s="330"/>
      <c r="O5" s="272"/>
      <c r="P5" s="272"/>
      <c r="Q5" s="272"/>
      <c r="R5" s="272"/>
      <c r="S5" s="272"/>
      <c r="T5" s="272"/>
      <c r="U5" s="272"/>
      <c r="V5" s="272"/>
      <c r="W5" s="272"/>
    </row>
    <row r="6" spans="1:23" ht="30" customHeight="1" thickBot="1" x14ac:dyDescent="0.3">
      <c r="A6" s="269"/>
      <c r="B6" s="212" t="s">
        <v>3491</v>
      </c>
      <c r="C6" s="826" t="s">
        <v>3492</v>
      </c>
      <c r="D6" s="826"/>
      <c r="E6" s="826"/>
      <c r="F6" s="212"/>
      <c r="G6" s="212"/>
      <c r="H6" s="274"/>
      <c r="I6" s="272"/>
      <c r="J6" s="272"/>
      <c r="K6" s="272"/>
      <c r="L6" s="272"/>
      <c r="M6" s="272"/>
      <c r="N6" s="272"/>
      <c r="O6" s="272"/>
      <c r="P6" s="272"/>
      <c r="Q6" s="272"/>
      <c r="R6" s="272"/>
      <c r="S6" s="272"/>
      <c r="T6" s="272"/>
      <c r="U6" s="272"/>
      <c r="V6" s="272"/>
      <c r="W6" s="272"/>
    </row>
    <row r="7" spans="1:23" ht="30" customHeight="1" thickBot="1" x14ac:dyDescent="0.3">
      <c r="A7" s="271"/>
      <c r="B7" s="1102" t="s">
        <v>2225</v>
      </c>
      <c r="C7" s="1102"/>
      <c r="D7" s="1102"/>
      <c r="E7" s="1102"/>
      <c r="F7" s="1102"/>
      <c r="G7" s="1103"/>
      <c r="H7" s="836"/>
      <c r="I7" s="836"/>
      <c r="J7" s="836"/>
      <c r="K7" s="836"/>
      <c r="L7" s="836"/>
      <c r="M7" s="836"/>
      <c r="N7" s="836"/>
      <c r="O7" s="836"/>
      <c r="P7" s="836"/>
      <c r="Q7" s="836"/>
      <c r="R7" s="836"/>
      <c r="S7" s="836"/>
      <c r="T7" s="836"/>
      <c r="U7" s="836"/>
      <c r="V7" s="836"/>
      <c r="W7" s="837"/>
    </row>
    <row r="8" spans="1:23" ht="30" customHeight="1" thickBot="1" x14ac:dyDescent="0.3">
      <c r="A8" s="269"/>
      <c r="B8" s="1183"/>
      <c r="C8" s="1183"/>
      <c r="D8" s="1183"/>
      <c r="E8" s="1183"/>
      <c r="F8" s="1183"/>
      <c r="G8" s="1183"/>
      <c r="H8" s="274"/>
      <c r="I8" s="272"/>
      <c r="J8" s="272"/>
      <c r="K8" s="272"/>
      <c r="L8" s="272"/>
      <c r="M8" s="272"/>
      <c r="N8" s="272"/>
      <c r="O8" s="272"/>
      <c r="P8" s="272"/>
      <c r="Q8" s="272"/>
      <c r="R8" s="272"/>
      <c r="S8" s="272"/>
      <c r="T8" s="272"/>
      <c r="U8" s="272"/>
      <c r="V8" s="272"/>
      <c r="W8" s="272"/>
    </row>
    <row r="9" spans="1:23" ht="30" customHeight="1" thickBot="1" x14ac:dyDescent="0.3">
      <c r="A9" s="271">
        <v>1</v>
      </c>
      <c r="B9" s="1102" t="s">
        <v>3363</v>
      </c>
      <c r="C9" s="1102"/>
      <c r="D9" s="1102"/>
      <c r="E9" s="1102"/>
      <c r="F9" s="1102"/>
      <c r="G9" s="1103"/>
      <c r="H9" s="836" t="str">
        <f t="shared" ref="H9:H40" si="0">B9</f>
        <v>Achat tofu : choisir tofu ferme pour sauté, tofu soyeux pour sauce ou dessert, déclarer soja et tester acceptation avant achat massif.</v>
      </c>
      <c r="I9" s="836"/>
      <c r="J9" s="836"/>
      <c r="K9" s="836"/>
      <c r="L9" s="836"/>
      <c r="M9" s="836"/>
      <c r="N9" s="836"/>
      <c r="O9" s="836"/>
      <c r="P9" s="836"/>
      <c r="Q9" s="836"/>
      <c r="R9" s="836"/>
      <c r="S9" s="836"/>
      <c r="T9" s="836"/>
      <c r="U9" s="836"/>
      <c r="V9" s="836"/>
      <c r="W9" s="837"/>
    </row>
    <row r="10" spans="1:23" ht="30" customHeight="1" thickBot="1" x14ac:dyDescent="0.3">
      <c r="A10" s="271">
        <v>2</v>
      </c>
      <c r="B10" s="1102" t="s">
        <v>3289</v>
      </c>
      <c r="C10" s="1102"/>
      <c r="D10" s="1102"/>
      <c r="E10" s="1102"/>
      <c r="F10" s="1102"/>
      <c r="G10" s="1103"/>
      <c r="H10" s="836" t="str">
        <f t="shared" si="0"/>
        <v>Ajustement culinaire : renforcer épices douces, acidité, herbes fraîches et matière grasse mesurée pour améliorer le goût sans alourdir le coût portion.</v>
      </c>
      <c r="I10" s="836"/>
      <c r="J10" s="836"/>
      <c r="K10" s="836"/>
      <c r="L10" s="836"/>
      <c r="M10" s="836"/>
      <c r="N10" s="836"/>
      <c r="O10" s="836"/>
      <c r="P10" s="836"/>
      <c r="Q10" s="836"/>
      <c r="R10" s="836"/>
      <c r="S10" s="836"/>
      <c r="T10" s="836"/>
      <c r="U10" s="836"/>
      <c r="V10" s="836"/>
      <c r="W10" s="837"/>
    </row>
    <row r="11" spans="1:23" ht="30" customHeight="1" thickBot="1" x14ac:dyDescent="0.3">
      <c r="A11" s="271">
        <v>3</v>
      </c>
      <c r="B11" s="1102" t="s">
        <v>3285</v>
      </c>
      <c r="C11" s="1102"/>
      <c r="D11" s="1102"/>
      <c r="E11" s="1102"/>
      <c r="F11" s="1102"/>
      <c r="G11" s="1103"/>
      <c r="H11" s="836" t="str">
        <f t="shared" si="0"/>
        <v>Analyse convives : refus du plat végétal lié au nom de la recette, à la couleur terne et à l’absence de garniture visible.</v>
      </c>
      <c r="I11" s="836"/>
      <c r="J11" s="836"/>
      <c r="K11" s="836"/>
      <c r="L11" s="836"/>
      <c r="M11" s="836"/>
      <c r="N11" s="836"/>
      <c r="O11" s="836"/>
      <c r="P11" s="836"/>
      <c r="Q11" s="836"/>
      <c r="R11" s="836"/>
      <c r="S11" s="836"/>
      <c r="T11" s="836"/>
      <c r="U11" s="836"/>
      <c r="V11" s="836"/>
      <c r="W11" s="837"/>
    </row>
    <row r="12" spans="1:23" ht="30" customHeight="1" thickBot="1" x14ac:dyDescent="0.3">
      <c r="A12" s="271">
        <v>4</v>
      </c>
      <c r="B12" s="1102" t="s">
        <v>3375</v>
      </c>
      <c r="C12" s="1102"/>
      <c r="D12" s="1102"/>
      <c r="E12" s="1102"/>
      <c r="F12" s="1102"/>
      <c r="G12" s="1103"/>
      <c r="H12" s="836" t="str">
        <f t="shared" si="0"/>
        <v>Analyse environnement : recette végétale intéressante mais refusée si qualité culinaire insuffisante, donc priorité au goût avant le message durable.</v>
      </c>
      <c r="I12" s="836"/>
      <c r="J12" s="836"/>
      <c r="K12" s="836"/>
      <c r="L12" s="836"/>
      <c r="M12" s="836"/>
      <c r="N12" s="836"/>
      <c r="O12" s="836"/>
      <c r="P12" s="836"/>
      <c r="Q12" s="836"/>
      <c r="R12" s="836"/>
      <c r="S12" s="836"/>
      <c r="T12" s="836"/>
      <c r="U12" s="836"/>
      <c r="V12" s="836"/>
      <c r="W12" s="837"/>
    </row>
    <row r="13" spans="1:23" ht="30" customHeight="1" thickBot="1" x14ac:dyDescent="0.3">
      <c r="A13" s="271">
        <v>5</v>
      </c>
      <c r="B13" s="1102" t="s">
        <v>3329</v>
      </c>
      <c r="C13" s="1102"/>
      <c r="D13" s="1102"/>
      <c r="E13" s="1102"/>
      <c r="F13" s="1102"/>
      <c r="G13" s="1103"/>
      <c r="H13" s="836" t="str">
        <f t="shared" si="0"/>
        <v>Analyse nutritionnelle : vérifier complémentarité céréale et légumineuse, apport en légumes, densité énergétique et présence d’un corps gras de qualité.</v>
      </c>
      <c r="I13" s="836"/>
      <c r="J13" s="836"/>
      <c r="K13" s="836"/>
      <c r="L13" s="836"/>
      <c r="M13" s="836"/>
      <c r="N13" s="836"/>
      <c r="O13" s="836"/>
      <c r="P13" s="836"/>
      <c r="Q13" s="836"/>
      <c r="R13" s="836"/>
      <c r="S13" s="836"/>
      <c r="T13" s="836"/>
      <c r="U13" s="836"/>
      <c r="V13" s="836"/>
      <c r="W13" s="837"/>
    </row>
    <row r="14" spans="1:23" ht="30" customHeight="1" thickBot="1" x14ac:dyDescent="0.3">
      <c r="A14" s="271">
        <v>6</v>
      </c>
      <c r="B14" s="1102" t="s">
        <v>3405</v>
      </c>
      <c r="C14" s="1102"/>
      <c r="D14" s="1102"/>
      <c r="E14" s="1102"/>
      <c r="F14" s="1102"/>
      <c r="G14" s="1103"/>
      <c r="H14" s="836" t="str">
        <f t="shared" si="0"/>
        <v>Analyse portion : portion trop élevée de légumineuses peut augmenter refus, inconfort digestif et gaspillage malgré un coût matière faible.</v>
      </c>
      <c r="I14" s="836"/>
      <c r="J14" s="836"/>
      <c r="K14" s="836"/>
      <c r="L14" s="836"/>
      <c r="M14" s="836"/>
      <c r="N14" s="836"/>
      <c r="O14" s="836"/>
      <c r="P14" s="836"/>
      <c r="Q14" s="836"/>
      <c r="R14" s="836"/>
      <c r="S14" s="836"/>
      <c r="T14" s="836"/>
      <c r="U14" s="836"/>
      <c r="V14" s="836"/>
      <c r="W14" s="837"/>
    </row>
    <row r="15" spans="1:23" ht="30" customHeight="1" thickBot="1" x14ac:dyDescent="0.3">
      <c r="A15" s="271">
        <v>7</v>
      </c>
      <c r="B15" s="1102" t="s">
        <v>3323</v>
      </c>
      <c r="C15" s="1102"/>
      <c r="D15" s="1102"/>
      <c r="E15" s="1102"/>
      <c r="F15" s="1102"/>
      <c r="G15" s="1103"/>
      <c r="H15" s="836" t="str">
        <f t="shared" si="0"/>
        <v>Approvisionnement : pois chiches locaux disponibles mais calibrage irrégulier, trempage à sécuriser, rendement à vérifier et coût main-d’œuvre à intégrer.</v>
      </c>
      <c r="I15" s="836"/>
      <c r="J15" s="836"/>
      <c r="K15" s="836"/>
      <c r="L15" s="836"/>
      <c r="M15" s="836"/>
      <c r="N15" s="836"/>
      <c r="O15" s="836"/>
      <c r="P15" s="836"/>
      <c r="Q15" s="836"/>
      <c r="R15" s="836"/>
      <c r="S15" s="836"/>
      <c r="T15" s="836"/>
      <c r="U15" s="836"/>
      <c r="V15" s="836"/>
      <c r="W15" s="837"/>
    </row>
    <row r="16" spans="1:23" ht="30" customHeight="1" thickBot="1" x14ac:dyDescent="0.3">
      <c r="A16" s="271">
        <v>8</v>
      </c>
      <c r="B16" s="1102" t="s">
        <v>3258</v>
      </c>
      <c r="C16" s="1102"/>
      <c r="D16" s="1102"/>
      <c r="E16" s="1102"/>
      <c r="F16" s="1102"/>
      <c r="G16" s="1103"/>
      <c r="H16" s="836" t="str">
        <f t="shared" si="0"/>
        <v>Approvisionnement local : féverole disponible, prix instable, texture à travailler, sauce nécessaire, acceptabilité inconnue et test convives obligatoire.</v>
      </c>
      <c r="I16" s="836"/>
      <c r="J16" s="836"/>
      <c r="K16" s="836"/>
      <c r="L16" s="836"/>
      <c r="M16" s="836"/>
      <c r="N16" s="836"/>
      <c r="O16" s="836"/>
      <c r="P16" s="836"/>
      <c r="Q16" s="836"/>
      <c r="R16" s="836"/>
      <c r="S16" s="836"/>
      <c r="T16" s="836"/>
      <c r="U16" s="836"/>
      <c r="V16" s="836"/>
      <c r="W16" s="837"/>
    </row>
    <row r="17" spans="1:23" ht="30" customHeight="1" thickBot="1" x14ac:dyDescent="0.3">
      <c r="A17" s="271">
        <v>9</v>
      </c>
      <c r="B17" s="1102" t="s">
        <v>3461</v>
      </c>
      <c r="C17" s="1102"/>
      <c r="D17" s="1102"/>
      <c r="E17" s="1102"/>
      <c r="F17" s="1102"/>
      <c r="G17" s="1103"/>
      <c r="H17" s="836" t="str">
        <f t="shared" si="0"/>
        <v>Audit achat responsable : produit local intéressant seulement si qualité régulière, prix maîtrisé, acceptabilité et contraintes cuisine compatibles.</v>
      </c>
      <c r="I17" s="836"/>
      <c r="J17" s="836"/>
      <c r="K17" s="836"/>
      <c r="L17" s="836"/>
      <c r="M17" s="836"/>
      <c r="N17" s="836"/>
      <c r="O17" s="836"/>
      <c r="P17" s="836"/>
      <c r="Q17" s="836"/>
      <c r="R17" s="836"/>
      <c r="S17" s="836"/>
      <c r="T17" s="836"/>
      <c r="U17" s="836"/>
      <c r="V17" s="836"/>
      <c r="W17" s="837"/>
    </row>
    <row r="18" spans="1:23" ht="30" customHeight="1" thickBot="1" x14ac:dyDescent="0.3">
      <c r="A18" s="271">
        <v>10</v>
      </c>
      <c r="B18" s="1102" t="s">
        <v>3252</v>
      </c>
      <c r="C18" s="1102"/>
      <c r="D18" s="1102"/>
      <c r="E18" s="1102"/>
      <c r="F18" s="1102"/>
      <c r="G18" s="1103"/>
      <c r="H18" s="836" t="str">
        <f t="shared" si="0"/>
        <v>Audit budget : prix matière stable mais main-d’œuvre élevée, temps de préparation long, pertes au service et gaspillage convives à intégrer au coût portion.</v>
      </c>
      <c r="I18" s="836"/>
      <c r="J18" s="836"/>
      <c r="K18" s="836"/>
      <c r="L18" s="836"/>
      <c r="M18" s="836"/>
      <c r="N18" s="836"/>
      <c r="O18" s="836"/>
      <c r="P18" s="836"/>
      <c r="Q18" s="836"/>
      <c r="R18" s="836"/>
      <c r="S18" s="836"/>
      <c r="T18" s="836"/>
      <c r="U18" s="836"/>
      <c r="V18" s="836"/>
      <c r="W18" s="837"/>
    </row>
    <row r="19" spans="1:23" ht="30" customHeight="1" thickBot="1" x14ac:dyDescent="0.3">
      <c r="A19" s="271">
        <v>11</v>
      </c>
      <c r="B19" s="1102" t="s">
        <v>3389</v>
      </c>
      <c r="C19" s="1102"/>
      <c r="D19" s="1102"/>
      <c r="E19" s="1102"/>
      <c r="F19" s="1102"/>
      <c r="G19" s="1103"/>
      <c r="H19" s="836" t="str">
        <f t="shared" si="0"/>
        <v>Audit communication : les agents annoncent seulement plat végétarien, information insuffisante, il faut citer ingrédients principaux et sauce.</v>
      </c>
      <c r="I19" s="836"/>
      <c r="J19" s="836"/>
      <c r="K19" s="836"/>
      <c r="L19" s="836"/>
      <c r="M19" s="836"/>
      <c r="N19" s="836"/>
      <c r="O19" s="836"/>
      <c r="P19" s="836"/>
      <c r="Q19" s="836"/>
      <c r="R19" s="836"/>
      <c r="S19" s="836"/>
      <c r="T19" s="836"/>
      <c r="U19" s="836"/>
      <c r="V19" s="836"/>
      <c r="W19" s="837"/>
    </row>
    <row r="20" spans="1:23" ht="30" customHeight="1" thickBot="1" x14ac:dyDescent="0.3">
      <c r="A20" s="271">
        <v>12</v>
      </c>
      <c r="B20" s="1102" t="s">
        <v>3265</v>
      </c>
      <c r="C20" s="1102"/>
      <c r="D20" s="1102"/>
      <c r="E20" s="1102"/>
      <c r="F20" s="1102"/>
      <c r="G20" s="1103"/>
      <c r="H20" s="836" t="str">
        <f t="shared" si="0"/>
        <v>Audit nutrition : plat complet avec légumineuse, céréale associée, fibres, fer, légumes et source de protéine végétale identifiable.</v>
      </c>
      <c r="I20" s="836"/>
      <c r="J20" s="836"/>
      <c r="K20" s="836"/>
      <c r="L20" s="836"/>
      <c r="M20" s="836"/>
      <c r="N20" s="836"/>
      <c r="O20" s="836"/>
      <c r="P20" s="836"/>
      <c r="Q20" s="836"/>
      <c r="R20" s="836"/>
      <c r="S20" s="836"/>
      <c r="T20" s="836"/>
      <c r="U20" s="836"/>
      <c r="V20" s="836"/>
      <c r="W20" s="837"/>
    </row>
    <row r="21" spans="1:23" ht="30" customHeight="1" thickBot="1" x14ac:dyDescent="0.3">
      <c r="A21" s="271">
        <v>13</v>
      </c>
      <c r="B21" s="1102" t="s">
        <v>3419</v>
      </c>
      <c r="C21" s="1102"/>
      <c r="D21" s="1102"/>
      <c r="E21" s="1102"/>
      <c r="F21" s="1102"/>
      <c r="G21" s="1103"/>
      <c r="H21" s="836" t="str">
        <f t="shared" si="0"/>
        <v>Audit recette : plat végétal techniquement correct mais trop monochrome, ajouter herbes, légumes contrastés et sauce visible au dressage.</v>
      </c>
      <c r="I21" s="836"/>
      <c r="J21" s="836"/>
      <c r="K21" s="836"/>
      <c r="L21" s="836"/>
      <c r="M21" s="836"/>
      <c r="N21" s="836"/>
      <c r="O21" s="836"/>
      <c r="P21" s="836"/>
      <c r="Q21" s="836"/>
      <c r="R21" s="836"/>
      <c r="S21" s="836"/>
      <c r="T21" s="836"/>
      <c r="U21" s="836"/>
      <c r="V21" s="836"/>
      <c r="W21" s="837"/>
    </row>
    <row r="22" spans="1:23" ht="30" customHeight="1" thickBot="1" x14ac:dyDescent="0.3">
      <c r="A22" s="271">
        <v>14</v>
      </c>
      <c r="B22" s="1102" t="s">
        <v>3295</v>
      </c>
      <c r="C22" s="1102"/>
      <c r="D22" s="1102"/>
      <c r="E22" s="1102"/>
      <c r="F22" s="1102"/>
      <c r="G22" s="1103"/>
      <c r="H22" s="836" t="str">
        <f t="shared" si="0"/>
        <v>Audit self : les portions de chili végétal sont trop grandes, le reste assiette augmente et le coût réel dépasse le prix matière prévu.</v>
      </c>
      <c r="I22" s="836"/>
      <c r="J22" s="836"/>
      <c r="K22" s="836"/>
      <c r="L22" s="836"/>
      <c r="M22" s="836"/>
      <c r="N22" s="836"/>
      <c r="O22" s="836"/>
      <c r="P22" s="836"/>
      <c r="Q22" s="836"/>
      <c r="R22" s="836"/>
      <c r="S22" s="836"/>
      <c r="T22" s="836"/>
      <c r="U22" s="836"/>
      <c r="V22" s="836"/>
      <c r="W22" s="837"/>
    </row>
    <row r="23" spans="1:23" ht="30" customHeight="1" thickBot="1" x14ac:dyDescent="0.3">
      <c r="A23" s="271">
        <v>15</v>
      </c>
      <c r="B23" s="1102" t="s">
        <v>4363</v>
      </c>
      <c r="C23" s="1102"/>
      <c r="D23" s="1102"/>
      <c r="E23" s="1102"/>
      <c r="F23" s="1102"/>
      <c r="G23" s="1103"/>
      <c r="H23" s="836" t="str">
        <f t="shared" si="0"/>
        <v>Avant de changer les menus, il faut regarder le prix de la portion. Un plat végétal peut coûter moins cher, mais demander plus de travail en cuisine.;coût / alternative / végétal</v>
      </c>
      <c r="I23" s="836"/>
      <c r="J23" s="836"/>
      <c r="K23" s="836"/>
      <c r="L23" s="836"/>
      <c r="M23" s="836"/>
      <c r="N23" s="836"/>
      <c r="O23" s="836"/>
      <c r="P23" s="836"/>
      <c r="Q23" s="836"/>
      <c r="R23" s="836"/>
      <c r="S23" s="836"/>
      <c r="T23" s="836"/>
      <c r="U23" s="836"/>
      <c r="V23" s="836"/>
      <c r="W23" s="837"/>
    </row>
    <row r="24" spans="1:23" ht="30" customHeight="1" thickBot="1" x14ac:dyDescent="0.3">
      <c r="A24" s="271">
        <v>16</v>
      </c>
      <c r="B24" s="1102" t="s">
        <v>4368</v>
      </c>
      <c r="C24" s="1102"/>
      <c r="D24" s="1102"/>
      <c r="E24" s="1102"/>
      <c r="F24" s="1102"/>
      <c r="G24" s="1103"/>
      <c r="H24" s="836" t="str">
        <f t="shared" si="0"/>
        <v>Avant de mettre un plat végétal souvent au menu, il faut le tester avec l’équipe et regarder la quantité, la tenue au chaud, le coût, les restes et l’avis des élèves.;alternative / végétal / coût</v>
      </c>
      <c r="I24" s="836"/>
      <c r="J24" s="836"/>
      <c r="K24" s="836"/>
      <c r="L24" s="836"/>
      <c r="M24" s="836"/>
      <c r="N24" s="836"/>
      <c r="O24" s="836"/>
      <c r="P24" s="836"/>
      <c r="Q24" s="836"/>
      <c r="R24" s="836"/>
      <c r="S24" s="836"/>
      <c r="T24" s="836"/>
      <c r="U24" s="836"/>
      <c r="V24" s="836"/>
      <c r="W24" s="837"/>
    </row>
    <row r="25" spans="1:23" ht="30" customHeight="1" thickBot="1" x14ac:dyDescent="0.3">
      <c r="A25" s="271">
        <v>17</v>
      </c>
      <c r="B25" s="1102" t="s">
        <v>3465</v>
      </c>
      <c r="C25" s="1102"/>
      <c r="D25" s="1102"/>
      <c r="E25" s="1102"/>
      <c r="F25" s="1102"/>
      <c r="G25" s="1103"/>
      <c r="H25" s="836" t="str">
        <f t="shared" si="0"/>
        <v>Bilan annuel : conserver uniquement les recettes végétales qui atteignent les seuils fixés de satisfaction, gaspillage, coût et sécurité allergène.</v>
      </c>
      <c r="I25" s="836"/>
      <c r="J25" s="836"/>
      <c r="K25" s="836"/>
      <c r="L25" s="836"/>
      <c r="M25" s="836"/>
      <c r="N25" s="836"/>
      <c r="O25" s="836"/>
      <c r="P25" s="836"/>
      <c r="Q25" s="836"/>
      <c r="R25" s="836"/>
      <c r="S25" s="836"/>
      <c r="T25" s="836"/>
      <c r="U25" s="836"/>
      <c r="V25" s="836"/>
      <c r="W25" s="837"/>
    </row>
    <row r="26" spans="1:23" ht="30" customHeight="1" thickBot="1" x14ac:dyDescent="0.3">
      <c r="A26" s="271">
        <v>18</v>
      </c>
      <c r="B26" s="1102" t="s">
        <v>3263</v>
      </c>
      <c r="C26" s="1102"/>
      <c r="D26" s="1102"/>
      <c r="E26" s="1102"/>
      <c r="F26" s="1102"/>
      <c r="G26" s="1103"/>
      <c r="H26" s="836" t="str">
        <f t="shared" si="0"/>
        <v>Bolognaise aux lentilles : prix matière bas, temps de préparation long, texture correcte, goût peu marqué, gaspillage moyen et communication à améliorer.</v>
      </c>
      <c r="I26" s="836"/>
      <c r="J26" s="836"/>
      <c r="K26" s="836"/>
      <c r="L26" s="836"/>
      <c r="M26" s="836"/>
      <c r="N26" s="836"/>
      <c r="O26" s="836"/>
      <c r="P26" s="836"/>
      <c r="Q26" s="836"/>
      <c r="R26" s="836"/>
      <c r="S26" s="836"/>
      <c r="T26" s="836"/>
      <c r="U26" s="836"/>
      <c r="V26" s="836"/>
      <c r="W26" s="837"/>
    </row>
    <row r="27" spans="1:23" ht="30" customHeight="1" thickBot="1" x14ac:dyDescent="0.3">
      <c r="A27" s="271">
        <v>19</v>
      </c>
      <c r="B27" s="1102" t="s">
        <v>3341</v>
      </c>
      <c r="C27" s="1102"/>
      <c r="D27" s="1102"/>
      <c r="E27" s="1102"/>
      <c r="F27" s="1102"/>
      <c r="G27" s="1103"/>
      <c r="H27" s="836" t="str">
        <f t="shared" si="0"/>
        <v>Brief service : former les agents à présenter le plat végétal avec appétence, ingrédients connus, sauce mise en avant et option d’accompagnement.</v>
      </c>
      <c r="I27" s="836"/>
      <c r="J27" s="836"/>
      <c r="K27" s="836"/>
      <c r="L27" s="836"/>
      <c r="M27" s="836"/>
      <c r="N27" s="836"/>
      <c r="O27" s="836"/>
      <c r="P27" s="836"/>
      <c r="Q27" s="836"/>
      <c r="R27" s="836"/>
      <c r="S27" s="836"/>
      <c r="T27" s="836"/>
      <c r="U27" s="836"/>
      <c r="V27" s="836"/>
      <c r="W27" s="837"/>
    </row>
    <row r="28" spans="1:23" ht="30" customHeight="1" thickBot="1" x14ac:dyDescent="0.3">
      <c r="A28" s="271">
        <v>20</v>
      </c>
      <c r="B28" s="1102" t="s">
        <v>3307</v>
      </c>
      <c r="C28" s="1102"/>
      <c r="D28" s="1102"/>
      <c r="E28" s="1102"/>
      <c r="F28" s="1102"/>
      <c r="G28" s="1103"/>
      <c r="H28" s="836" t="str">
        <f t="shared" si="0"/>
        <v>Budget annuel : augmenter les recettes de légumineuses peut réduire le prix matière mais augmente parfois le temps de préparation et le besoin d’assaisonnement.</v>
      </c>
      <c r="I28" s="836"/>
      <c r="J28" s="836"/>
      <c r="K28" s="836"/>
      <c r="L28" s="836"/>
      <c r="M28" s="836"/>
      <c r="N28" s="836"/>
      <c r="O28" s="836"/>
      <c r="P28" s="836"/>
      <c r="Q28" s="836"/>
      <c r="R28" s="836"/>
      <c r="S28" s="836"/>
      <c r="T28" s="836"/>
      <c r="U28" s="836"/>
      <c r="V28" s="836"/>
      <c r="W28" s="837"/>
    </row>
    <row r="29" spans="1:23" ht="30" customHeight="1" thickBot="1" x14ac:dyDescent="0.3">
      <c r="A29" s="271">
        <v>21</v>
      </c>
      <c r="B29" s="1102" t="s">
        <v>3260</v>
      </c>
      <c r="C29" s="1102"/>
      <c r="D29" s="1102"/>
      <c r="E29" s="1102"/>
      <c r="F29" s="1102"/>
      <c r="G29" s="1103"/>
      <c r="H29" s="836" t="str">
        <f t="shared" si="0"/>
        <v>Communication service : présenter le plat végétal positivement, sans culpabiliser, sans opposer les publics, avec une description simple de la sauce et des légumes.</v>
      </c>
      <c r="I29" s="836"/>
      <c r="J29" s="836"/>
      <c r="K29" s="836"/>
      <c r="L29" s="836"/>
      <c r="M29" s="836"/>
      <c r="N29" s="836"/>
      <c r="O29" s="836"/>
      <c r="P29" s="836"/>
      <c r="Q29" s="836"/>
      <c r="R29" s="836"/>
      <c r="S29" s="836"/>
      <c r="T29" s="836"/>
      <c r="U29" s="836"/>
      <c r="V29" s="836"/>
      <c r="W29" s="837"/>
    </row>
    <row r="30" spans="1:23" ht="30" customHeight="1" thickBot="1" x14ac:dyDescent="0.3">
      <c r="A30" s="271">
        <v>22</v>
      </c>
      <c r="B30" s="1102" t="s">
        <v>3385</v>
      </c>
      <c r="C30" s="1102"/>
      <c r="D30" s="1102"/>
      <c r="E30" s="1102"/>
      <c r="F30" s="1102"/>
      <c r="G30" s="1103"/>
      <c r="H30" s="836" t="str">
        <f t="shared" si="0"/>
        <v>Comparatif fournisseur : évaluer goût, composition, allergènes, taux de protéine, prix au kilo, rendement cuisson et facilité de mise en œuvre.</v>
      </c>
      <c r="I30" s="836"/>
      <c r="J30" s="836"/>
      <c r="K30" s="836"/>
      <c r="L30" s="836"/>
      <c r="M30" s="836"/>
      <c r="N30" s="836"/>
      <c r="O30" s="836"/>
      <c r="P30" s="836"/>
      <c r="Q30" s="836"/>
      <c r="R30" s="836"/>
      <c r="S30" s="836"/>
      <c r="T30" s="836"/>
      <c r="U30" s="836"/>
      <c r="V30" s="836"/>
      <c r="W30" s="837"/>
    </row>
    <row r="31" spans="1:23" ht="30" customHeight="1" thickBot="1" x14ac:dyDescent="0.3">
      <c r="A31" s="271">
        <v>23</v>
      </c>
      <c r="B31" s="1102" t="s">
        <v>3257</v>
      </c>
      <c r="C31" s="1102"/>
      <c r="D31" s="1102"/>
      <c r="E31" s="1102"/>
      <c r="F31" s="1102"/>
      <c r="G31" s="1103"/>
      <c r="H31" s="836" t="str">
        <f t="shared" si="0"/>
        <v>Contrôle avant service : soja, lupin et gluten mentionnés sur l’étiquette allergène ; alternative prévue ; information convives claire.</v>
      </c>
      <c r="I31" s="836"/>
      <c r="J31" s="836"/>
      <c r="K31" s="836"/>
      <c r="L31" s="836"/>
      <c r="M31" s="836"/>
      <c r="N31" s="836"/>
      <c r="O31" s="836"/>
      <c r="P31" s="836"/>
      <c r="Q31" s="836"/>
      <c r="R31" s="836"/>
      <c r="S31" s="836"/>
      <c r="T31" s="836"/>
      <c r="U31" s="836"/>
      <c r="V31" s="836"/>
      <c r="W31" s="837"/>
    </row>
    <row r="32" spans="1:23" ht="30" customHeight="1" thickBot="1" x14ac:dyDescent="0.3">
      <c r="A32" s="271">
        <v>24</v>
      </c>
      <c r="B32" s="1102" t="s">
        <v>3333</v>
      </c>
      <c r="C32" s="1102"/>
      <c r="D32" s="1102"/>
      <c r="E32" s="1102"/>
      <c r="F32" s="1102"/>
      <c r="G32" s="1103"/>
      <c r="H32" s="836" t="str">
        <f t="shared" si="0"/>
        <v>Contrôle coût : intégrer pertes au trempage, pertes à la cuisson, sauce ajoutée, main-d’œuvre et invendus dans le coût portion réel.</v>
      </c>
      <c r="I32" s="836"/>
      <c r="J32" s="836"/>
      <c r="K32" s="836"/>
      <c r="L32" s="836"/>
      <c r="M32" s="836"/>
      <c r="N32" s="836"/>
      <c r="O32" s="836"/>
      <c r="P32" s="836"/>
      <c r="Q32" s="836"/>
      <c r="R32" s="836"/>
      <c r="S32" s="836"/>
      <c r="T32" s="836"/>
      <c r="U32" s="836"/>
      <c r="V32" s="836"/>
      <c r="W32" s="837"/>
    </row>
    <row r="33" spans="1:23" ht="30" customHeight="1" thickBot="1" x14ac:dyDescent="0.3">
      <c r="A33" s="271">
        <v>25</v>
      </c>
      <c r="B33" s="1102" t="s">
        <v>3353</v>
      </c>
      <c r="C33" s="1102"/>
      <c r="D33" s="1102"/>
      <c r="E33" s="1102"/>
      <c r="F33" s="1102"/>
      <c r="G33" s="1103"/>
      <c r="H33" s="836" t="str">
        <f t="shared" si="0"/>
        <v>Contrôle étiquetage : vérifier soja caché dans aides culinaires, bouillons, sauces industrielles et protéines texturées avant validation allergène.</v>
      </c>
      <c r="I33" s="836"/>
      <c r="J33" s="836"/>
      <c r="K33" s="836"/>
      <c r="L33" s="836"/>
      <c r="M33" s="836"/>
      <c r="N33" s="836"/>
      <c r="O33" s="836"/>
      <c r="P33" s="836"/>
      <c r="Q33" s="836"/>
      <c r="R33" s="836"/>
      <c r="S33" s="836"/>
      <c r="T33" s="836"/>
      <c r="U33" s="836"/>
      <c r="V33" s="836"/>
      <c r="W33" s="837"/>
    </row>
    <row r="34" spans="1:23" ht="30" customHeight="1" thickBot="1" x14ac:dyDescent="0.3">
      <c r="A34" s="271">
        <v>26</v>
      </c>
      <c r="B34" s="1102" t="s">
        <v>3449</v>
      </c>
      <c r="C34" s="1102"/>
      <c r="D34" s="1102"/>
      <c r="E34" s="1102"/>
      <c r="F34" s="1102"/>
      <c r="G34" s="1103"/>
      <c r="H34" s="836" t="str">
        <f t="shared" si="0"/>
        <v>Contrôle fiche : vérifier grammages crus et cuits, rendement, valeur protéique, allergènes, mode de remise en température et conseil de service.</v>
      </c>
      <c r="I34" s="836"/>
      <c r="J34" s="836"/>
      <c r="K34" s="836"/>
      <c r="L34" s="836"/>
      <c r="M34" s="836"/>
      <c r="N34" s="836"/>
      <c r="O34" s="836"/>
      <c r="P34" s="836"/>
      <c r="Q34" s="836"/>
      <c r="R34" s="836"/>
      <c r="S34" s="836"/>
      <c r="T34" s="836"/>
      <c r="U34" s="836"/>
      <c r="V34" s="836"/>
      <c r="W34" s="837"/>
    </row>
    <row r="35" spans="1:23" ht="61.5" customHeight="1" thickBot="1" x14ac:dyDescent="0.3">
      <c r="A35" s="271">
        <v>27</v>
      </c>
      <c r="B35" s="1102" t="s">
        <v>3401</v>
      </c>
      <c r="C35" s="1102"/>
      <c r="D35" s="1102"/>
      <c r="E35" s="1102"/>
      <c r="F35" s="1102"/>
      <c r="G35" s="1103"/>
      <c r="H35" s="836" t="str">
        <f t="shared" si="0"/>
        <v>Contrôle final : avant service vérifier goût, température, texture, quantité de sauce, affichage allergènes et présence de l’alternative annoncée.</v>
      </c>
      <c r="I35" s="836"/>
      <c r="J35" s="836"/>
      <c r="K35" s="836"/>
      <c r="L35" s="836"/>
      <c r="M35" s="836"/>
      <c r="N35" s="836"/>
      <c r="O35" s="836"/>
      <c r="P35" s="836"/>
      <c r="Q35" s="836"/>
      <c r="R35" s="836"/>
      <c r="S35" s="836"/>
      <c r="T35" s="836"/>
      <c r="U35" s="836"/>
      <c r="V35" s="836"/>
      <c r="W35" s="837"/>
    </row>
    <row r="36" spans="1:23" ht="30" customHeight="1" thickBot="1" x14ac:dyDescent="0.3">
      <c r="A36" s="271">
        <v>28</v>
      </c>
      <c r="B36" s="1102" t="s">
        <v>3281</v>
      </c>
      <c r="C36" s="1102"/>
      <c r="D36" s="1102"/>
      <c r="E36" s="1102"/>
      <c r="F36" s="1102"/>
      <c r="G36" s="1103"/>
      <c r="H36" s="838" t="str">
        <f t="shared" si="0"/>
        <v>Contrôle production : cuisson des lentilles trop poussée, texture pâteuse, refroidissement lent, risque de perte de qualité en liaison froide.</v>
      </c>
      <c r="I36" s="838"/>
      <c r="J36" s="838"/>
      <c r="K36" s="838"/>
      <c r="L36" s="838"/>
      <c r="M36" s="838"/>
      <c r="N36" s="838"/>
      <c r="O36" s="838"/>
      <c r="P36" s="838"/>
      <c r="Q36" s="838"/>
      <c r="R36" s="838"/>
      <c r="S36" s="838"/>
      <c r="T36" s="838"/>
      <c r="U36" s="838"/>
      <c r="V36" s="838"/>
      <c r="W36" s="839"/>
    </row>
    <row r="37" spans="1:23" ht="30" customHeight="1" thickBot="1" x14ac:dyDescent="0.3">
      <c r="A37" s="271">
        <v>29</v>
      </c>
      <c r="B37" s="1102" t="s">
        <v>3305</v>
      </c>
      <c r="C37" s="1102"/>
      <c r="D37" s="1102"/>
      <c r="E37" s="1102"/>
      <c r="F37" s="1102"/>
      <c r="G37" s="1103"/>
      <c r="H37" s="838" t="str">
        <f t="shared" si="0"/>
        <v>Contrôle qualité : plat végétal conforme nutritionnellement mais présentation peu attractive, couleur uniforme, sauce invisible et intitulé peu vendeur.</v>
      </c>
      <c r="I37" s="838"/>
      <c r="J37" s="838"/>
      <c r="K37" s="838"/>
      <c r="L37" s="838"/>
      <c r="M37" s="838"/>
      <c r="N37" s="838"/>
      <c r="O37" s="838"/>
      <c r="P37" s="838"/>
      <c r="Q37" s="838"/>
      <c r="R37" s="838"/>
      <c r="S37" s="838"/>
      <c r="T37" s="838"/>
      <c r="U37" s="838"/>
      <c r="V37" s="838"/>
      <c r="W37" s="839"/>
    </row>
    <row r="38" spans="1:23" ht="30" customHeight="1" thickBot="1" x14ac:dyDescent="0.3">
      <c r="A38" s="271">
        <v>30</v>
      </c>
      <c r="B38" s="1102" t="s">
        <v>3433</v>
      </c>
      <c r="C38" s="1102"/>
      <c r="D38" s="1102"/>
      <c r="E38" s="1102"/>
      <c r="F38" s="1102"/>
      <c r="G38" s="1103"/>
      <c r="H38" s="838" t="str">
        <f t="shared" si="0"/>
        <v>Contrôle texture : rechercher fondant, moelleux et nappage, éviter farineux, collant, sec ou granuleux selon le public accueilli.</v>
      </c>
      <c r="I38" s="838"/>
      <c r="J38" s="838"/>
      <c r="K38" s="838"/>
      <c r="L38" s="838"/>
      <c r="M38" s="838"/>
      <c r="N38" s="838"/>
      <c r="O38" s="838"/>
      <c r="P38" s="838"/>
      <c r="Q38" s="838"/>
      <c r="R38" s="838"/>
      <c r="S38" s="838"/>
      <c r="T38" s="838"/>
      <c r="U38" s="838"/>
      <c r="V38" s="838"/>
      <c r="W38" s="839"/>
    </row>
    <row r="39" spans="1:23" ht="30" customHeight="1" thickBot="1" x14ac:dyDescent="0.3">
      <c r="A39" s="271">
        <v>31</v>
      </c>
      <c r="B39" s="1102" t="s">
        <v>3425</v>
      </c>
      <c r="C39" s="1102"/>
      <c r="D39" s="1102"/>
      <c r="E39" s="1102"/>
      <c r="F39" s="1102"/>
      <c r="G39" s="1103"/>
      <c r="H39" s="838" t="str">
        <f t="shared" si="0"/>
        <v>Cuisine banquet : prévoir plat végétal en sauce qui supporte attente, dressage rapide, allergènes maîtrisés et portion constante.</v>
      </c>
      <c r="I39" s="838"/>
      <c r="J39" s="838"/>
      <c r="K39" s="838"/>
      <c r="L39" s="838"/>
      <c r="M39" s="838"/>
      <c r="N39" s="838"/>
      <c r="O39" s="838"/>
      <c r="P39" s="838"/>
      <c r="Q39" s="838"/>
      <c r="R39" s="838"/>
      <c r="S39" s="838"/>
      <c r="T39" s="838"/>
      <c r="U39" s="838"/>
      <c r="V39" s="838"/>
      <c r="W39" s="839"/>
    </row>
    <row r="40" spans="1:23" ht="30" customHeight="1" thickBot="1" x14ac:dyDescent="0.3">
      <c r="A40" s="271">
        <v>32</v>
      </c>
      <c r="B40" s="1102" t="s">
        <v>3321</v>
      </c>
      <c r="C40" s="1102"/>
      <c r="D40" s="1102"/>
      <c r="E40" s="1102"/>
      <c r="F40" s="1102"/>
      <c r="G40" s="1103"/>
      <c r="H40" s="838" t="str">
        <f t="shared" si="0"/>
        <v>Cuisine centrale : dhal lentilles corail conditionné en barquettes, risque d’épaississement, correction par sauce et contrôle de viscosité avant expédition.</v>
      </c>
      <c r="I40" s="838"/>
      <c r="J40" s="838"/>
      <c r="K40" s="838"/>
      <c r="L40" s="838"/>
      <c r="M40" s="838"/>
      <c r="N40" s="838"/>
      <c r="O40" s="838"/>
      <c r="P40" s="838"/>
      <c r="Q40" s="838"/>
      <c r="R40" s="838"/>
      <c r="S40" s="838"/>
      <c r="T40" s="838"/>
      <c r="U40" s="838"/>
      <c r="V40" s="838"/>
      <c r="W40" s="839"/>
    </row>
    <row r="41" spans="1:23" ht="30" customHeight="1" thickBot="1" x14ac:dyDescent="0.3">
      <c r="A41" s="271">
        <v>33</v>
      </c>
      <c r="B41" s="1102" t="s">
        <v>3435</v>
      </c>
      <c r="C41" s="1102"/>
      <c r="D41" s="1102"/>
      <c r="E41" s="1102"/>
      <c r="F41" s="1102"/>
      <c r="G41" s="1103"/>
      <c r="H41" s="838" t="str">
        <f t="shared" ref="H41:H72" si="1">B41</f>
        <v>Cuisine en EHPAD : les légumineuses entières doivent être testées sur mastication, déglutition, confort digestif et satisfaction résident.</v>
      </c>
      <c r="I41" s="838"/>
      <c r="J41" s="838"/>
      <c r="K41" s="838"/>
      <c r="L41" s="838"/>
      <c r="M41" s="838"/>
      <c r="N41" s="838"/>
      <c r="O41" s="838"/>
      <c r="P41" s="838"/>
      <c r="Q41" s="838"/>
      <c r="R41" s="838"/>
      <c r="S41" s="838"/>
      <c r="T41" s="838"/>
      <c r="U41" s="838"/>
      <c r="V41" s="838"/>
      <c r="W41" s="839"/>
    </row>
    <row r="42" spans="1:23" ht="30" customHeight="1" thickBot="1" x14ac:dyDescent="0.3">
      <c r="A42" s="271">
        <v>34</v>
      </c>
      <c r="B42" s="1102" t="s">
        <v>3331</v>
      </c>
      <c r="C42" s="1102"/>
      <c r="D42" s="1102"/>
      <c r="E42" s="1102"/>
      <c r="F42" s="1102"/>
      <c r="G42" s="1103"/>
      <c r="H42" s="838" t="str">
        <f t="shared" si="1"/>
        <v>Cuisine hospitalière : adapter les recettes riches en fibres aux régimes digestifs, aux textures modifiées et aux prescriptions individuelles.</v>
      </c>
      <c r="I42" s="838"/>
      <c r="J42" s="838"/>
      <c r="K42" s="838"/>
      <c r="L42" s="838"/>
      <c r="M42" s="838"/>
      <c r="N42" s="838"/>
      <c r="O42" s="838"/>
      <c r="P42" s="838"/>
      <c r="Q42" s="838"/>
      <c r="R42" s="838"/>
      <c r="S42" s="838"/>
      <c r="T42" s="838"/>
      <c r="U42" s="838"/>
      <c r="V42" s="838"/>
      <c r="W42" s="839"/>
    </row>
    <row r="43" spans="1:23" ht="30" customHeight="1" thickBot="1" x14ac:dyDescent="0.3">
      <c r="A43" s="271">
        <v>35</v>
      </c>
      <c r="B43" s="1102" t="s">
        <v>3373</v>
      </c>
      <c r="C43" s="1102"/>
      <c r="D43" s="1102"/>
      <c r="E43" s="1102"/>
      <c r="F43" s="1102"/>
      <c r="G43" s="1103"/>
      <c r="H43" s="838" t="str">
        <f t="shared" si="1"/>
        <v>Cuisine senior : limiter excès de légumineuses entières si mastication faible, privilégier textures fondantes, sauces liées et portions adaptées.</v>
      </c>
      <c r="I43" s="838"/>
      <c r="J43" s="838"/>
      <c r="K43" s="838"/>
      <c r="L43" s="838"/>
      <c r="M43" s="838"/>
      <c r="N43" s="838"/>
      <c r="O43" s="838"/>
      <c r="P43" s="838"/>
      <c r="Q43" s="838"/>
      <c r="R43" s="838"/>
      <c r="S43" s="838"/>
      <c r="T43" s="838"/>
      <c r="U43" s="838"/>
      <c r="V43" s="838"/>
      <c r="W43" s="839"/>
    </row>
    <row r="44" spans="1:23" ht="30" customHeight="1" thickBot="1" x14ac:dyDescent="0.3">
      <c r="A44" s="271">
        <v>36</v>
      </c>
      <c r="B44" s="1102" t="s">
        <v>3268</v>
      </c>
      <c r="C44" s="1102"/>
      <c r="D44" s="1102"/>
      <c r="E44" s="1102"/>
      <c r="F44" s="1102"/>
      <c r="G44" s="1103"/>
      <c r="H44" s="838" t="str">
        <f t="shared" si="1"/>
        <v>Cycle de menus : substitution progressive d’une partie de la viande par lentilles, pois chiches et haricots ; acceptabilité à suivre sans opposer viande et végétal.</v>
      </c>
      <c r="I44" s="838"/>
      <c r="J44" s="838"/>
      <c r="K44" s="838"/>
      <c r="L44" s="838"/>
      <c r="M44" s="838"/>
      <c r="N44" s="838"/>
      <c r="O44" s="838"/>
      <c r="P44" s="838"/>
      <c r="Q44" s="838"/>
      <c r="R44" s="838"/>
      <c r="S44" s="838"/>
      <c r="T44" s="838"/>
      <c r="U44" s="838"/>
      <c r="V44" s="838"/>
      <c r="W44" s="839"/>
    </row>
    <row r="45" spans="1:23" ht="30" customHeight="1" thickBot="1" x14ac:dyDescent="0.3">
      <c r="A45" s="271">
        <v>37</v>
      </c>
      <c r="B45" s="1102" t="s">
        <v>2225</v>
      </c>
      <c r="C45" s="1102"/>
      <c r="D45" s="1102"/>
      <c r="E45" s="1102"/>
      <c r="F45" s="1102"/>
      <c r="G45" s="1103"/>
      <c r="H45" s="838" t="str">
        <f t="shared" si="1"/>
        <v>Dans le cadre du plan pluriannuel de diversification des protéines, l’établissement veut introduire progressivement des alternatives végétales sans présenter cela comme une punition ou une opposition aux plats carnés. Le premier test concerne un chili végétal aux haricots rouges, puis un dhal de pois cassés et une sauce bolognaise aux lentilles. Le responsable doit comparer le coût portion, le temps de préparation, le gaspillage et la satisfaction des convives. Le formateur insiste sur la lecture nutritionnelle : la recette doit contenir une vraie source de protéines, une garniture cohérente, une sauce et une texture agréable en bouche. Le seitan est envisagé seulement ponctuellement, avec contrôle obligatoire de l’allergène gluten.</v>
      </c>
      <c r="I45" s="838"/>
      <c r="J45" s="838"/>
      <c r="K45" s="838"/>
      <c r="L45" s="838"/>
      <c r="M45" s="838"/>
      <c r="N45" s="838"/>
      <c r="O45" s="838"/>
      <c r="P45" s="838"/>
      <c r="Q45" s="838"/>
      <c r="R45" s="838"/>
      <c r="S45" s="838"/>
      <c r="T45" s="838"/>
      <c r="U45" s="838"/>
      <c r="V45" s="838"/>
      <c r="W45" s="839"/>
    </row>
    <row r="46" spans="1:23" ht="30" customHeight="1" thickBot="1" x14ac:dyDescent="0.3">
      <c r="A46" s="271">
        <v>38</v>
      </c>
      <c r="B46" s="1102" t="s">
        <v>3250</v>
      </c>
      <c r="C46" s="1102"/>
      <c r="D46" s="1102"/>
      <c r="E46" s="1102"/>
      <c r="F46" s="1102"/>
      <c r="G46" s="1103"/>
      <c r="H46" s="838" t="str">
        <f t="shared" si="1"/>
        <v>Diagnostic global : diversification correcte, coût maîtrisé, gaspillage trop haut, satisfaction fragile, nutrition à sécuriser, texture et sauce prioritaires.</v>
      </c>
      <c r="I46" s="838"/>
      <c r="J46" s="838"/>
      <c r="K46" s="838"/>
      <c r="L46" s="838"/>
      <c r="M46" s="838"/>
      <c r="N46" s="838"/>
      <c r="O46" s="838"/>
      <c r="P46" s="838"/>
      <c r="Q46" s="838"/>
      <c r="R46" s="838"/>
      <c r="S46" s="838"/>
      <c r="T46" s="838"/>
      <c r="U46" s="838"/>
      <c r="V46" s="838"/>
      <c r="W46" s="839"/>
    </row>
    <row r="47" spans="1:23" ht="30" customHeight="1" thickBot="1" x14ac:dyDescent="0.3">
      <c r="A47" s="271">
        <v>39</v>
      </c>
      <c r="B47" s="1102" t="s">
        <v>3443</v>
      </c>
      <c r="C47" s="1102"/>
      <c r="D47" s="1102"/>
      <c r="E47" s="1102"/>
      <c r="F47" s="1102"/>
      <c r="G47" s="1103"/>
      <c r="H47" s="838" t="str">
        <f t="shared" si="1"/>
        <v>Diagnostic refus : convives ne reconnaissent pas le produit, texture molle, sauce absente et affichage trop technique en ligne de self.</v>
      </c>
      <c r="I47" s="838"/>
      <c r="J47" s="838"/>
      <c r="K47" s="838"/>
      <c r="L47" s="838"/>
      <c r="M47" s="838"/>
      <c r="N47" s="838"/>
      <c r="O47" s="838"/>
      <c r="P47" s="838"/>
      <c r="Q47" s="838"/>
      <c r="R47" s="838"/>
      <c r="S47" s="838"/>
      <c r="T47" s="838"/>
      <c r="U47" s="838"/>
      <c r="V47" s="838"/>
      <c r="W47" s="839"/>
    </row>
    <row r="48" spans="1:23" ht="30" customHeight="1" thickBot="1" x14ac:dyDescent="0.3">
      <c r="A48" s="271">
        <v>40</v>
      </c>
      <c r="B48" s="1102" t="s">
        <v>3367</v>
      </c>
      <c r="C48" s="1102"/>
      <c r="D48" s="1102"/>
      <c r="E48" s="1102"/>
      <c r="F48" s="1102"/>
      <c r="G48" s="1103"/>
      <c r="H48" s="838" t="str">
        <f t="shared" si="1"/>
        <v>Échec recette : steak végétal trop sec, cuisson trop longue, absence de sauce, pain absorbant et satisfaction très faible au self.</v>
      </c>
      <c r="I48" s="838"/>
      <c r="J48" s="838"/>
      <c r="K48" s="838"/>
      <c r="L48" s="838"/>
      <c r="M48" s="838"/>
      <c r="N48" s="838"/>
      <c r="O48" s="838"/>
      <c r="P48" s="838"/>
      <c r="Q48" s="838"/>
      <c r="R48" s="838"/>
      <c r="S48" s="838"/>
      <c r="T48" s="838"/>
      <c r="U48" s="838"/>
      <c r="V48" s="838"/>
      <c r="W48" s="839"/>
    </row>
    <row r="49" spans="1:23" ht="30" customHeight="1" thickBot="1" x14ac:dyDescent="0.3">
      <c r="A49" s="271">
        <v>41</v>
      </c>
      <c r="B49" s="1102" t="s">
        <v>3315</v>
      </c>
      <c r="C49" s="1102"/>
      <c r="D49" s="1102"/>
      <c r="E49" s="1102"/>
      <c r="F49" s="1102"/>
      <c r="G49" s="1103"/>
      <c r="H49" s="838" t="str">
        <f t="shared" si="1"/>
        <v>Essai buffet : houmous de pois chiches, crudités, pain, allergènes sésame et gluten possibles, acceptabilité bonne mais portionnement à cadrer.</v>
      </c>
      <c r="I49" s="838"/>
      <c r="J49" s="838"/>
      <c r="K49" s="838"/>
      <c r="L49" s="838"/>
      <c r="M49" s="838"/>
      <c r="N49" s="838"/>
      <c r="O49" s="838"/>
      <c r="P49" s="838"/>
      <c r="Q49" s="838"/>
      <c r="R49" s="838"/>
      <c r="S49" s="838"/>
      <c r="T49" s="838"/>
      <c r="U49" s="838"/>
      <c r="V49" s="838"/>
      <c r="W49" s="839"/>
    </row>
    <row r="50" spans="1:23" ht="30" customHeight="1" thickBot="1" x14ac:dyDescent="0.3">
      <c r="A50" s="271">
        <v>42</v>
      </c>
      <c r="B50" s="1102" t="s">
        <v>3301</v>
      </c>
      <c r="C50" s="1102"/>
      <c r="D50" s="1102"/>
      <c r="E50" s="1102"/>
      <c r="F50" s="1102"/>
      <c r="G50" s="1103"/>
      <c r="H50" s="838" t="str">
        <f t="shared" si="1"/>
        <v>Essai froid : salade de pois chiches et quinoa, sauce insuffisante après stockage, assaisonnement absorbé et satisfaction plus faible au deuxième service.</v>
      </c>
      <c r="I50" s="838"/>
      <c r="J50" s="838"/>
      <c r="K50" s="838"/>
      <c r="L50" s="838"/>
      <c r="M50" s="838"/>
      <c r="N50" s="838"/>
      <c r="O50" s="838"/>
      <c r="P50" s="838"/>
      <c r="Q50" s="838"/>
      <c r="R50" s="838"/>
      <c r="S50" s="838"/>
      <c r="T50" s="838"/>
      <c r="U50" s="838"/>
      <c r="V50" s="838"/>
      <c r="W50" s="839"/>
    </row>
    <row r="51" spans="1:23" ht="30" customHeight="1" thickBot="1" x14ac:dyDescent="0.3">
      <c r="A51" s="271">
        <v>43</v>
      </c>
      <c r="B51" s="1102" t="s">
        <v>3339</v>
      </c>
      <c r="C51" s="1102"/>
      <c r="D51" s="1102"/>
      <c r="E51" s="1102"/>
      <c r="F51" s="1102"/>
      <c r="G51" s="1103"/>
      <c r="H51" s="838" t="str">
        <f t="shared" si="1"/>
        <v>Essai haricots blancs : cassoulet végétal acceptable si sauce tomate aromatique, garniture fumée végétale et cuisson longue maîtrisée.</v>
      </c>
      <c r="I51" s="838"/>
      <c r="J51" s="838"/>
      <c r="K51" s="838"/>
      <c r="L51" s="838"/>
      <c r="M51" s="838"/>
      <c r="N51" s="838"/>
      <c r="O51" s="838"/>
      <c r="P51" s="838"/>
      <c r="Q51" s="838"/>
      <c r="R51" s="838"/>
      <c r="S51" s="838"/>
      <c r="T51" s="838"/>
      <c r="U51" s="838"/>
      <c r="V51" s="838"/>
      <c r="W51" s="839"/>
    </row>
    <row r="52" spans="1:23" ht="30" customHeight="1" thickBot="1" x14ac:dyDescent="0.3">
      <c r="A52" s="271">
        <v>44</v>
      </c>
      <c r="B52" s="1102" t="s">
        <v>3377</v>
      </c>
      <c r="C52" s="1102"/>
      <c r="D52" s="1102"/>
      <c r="E52" s="1102"/>
      <c r="F52" s="1102"/>
      <c r="G52" s="1103"/>
      <c r="H52" s="838" t="str">
        <f t="shared" si="1"/>
        <v>Essai lentilles vertes : bonne tenue en salade, cuisson à surveiller, vinaigrette généreuse nécessaire et association avec légumes croquants.</v>
      </c>
      <c r="I52" s="838"/>
      <c r="J52" s="838"/>
      <c r="K52" s="838"/>
      <c r="L52" s="838"/>
      <c r="M52" s="838"/>
      <c r="N52" s="838"/>
      <c r="O52" s="838"/>
      <c r="P52" s="838"/>
      <c r="Q52" s="838"/>
      <c r="R52" s="838"/>
      <c r="S52" s="838"/>
      <c r="T52" s="838"/>
      <c r="U52" s="838"/>
      <c r="V52" s="838"/>
      <c r="W52" s="839"/>
    </row>
    <row r="53" spans="1:23" ht="30" customHeight="1" thickBot="1" x14ac:dyDescent="0.3">
      <c r="A53" s="271">
        <v>45</v>
      </c>
      <c r="B53" s="1102" t="s">
        <v>3451</v>
      </c>
      <c r="C53" s="1102"/>
      <c r="D53" s="1102"/>
      <c r="E53" s="1102"/>
      <c r="F53" s="1102"/>
      <c r="G53" s="1103"/>
      <c r="H53" s="838" t="str">
        <f t="shared" si="1"/>
        <v>Essai pâtes légumineuses : teneur protéique intéressante, coût plus élevé, texture fragile et acceptabilité variable selon cuisson.</v>
      </c>
      <c r="I53" s="838"/>
      <c r="J53" s="838"/>
      <c r="K53" s="838"/>
      <c r="L53" s="838"/>
      <c r="M53" s="838"/>
      <c r="N53" s="838"/>
      <c r="O53" s="838"/>
      <c r="P53" s="838"/>
      <c r="Q53" s="838"/>
      <c r="R53" s="838"/>
      <c r="S53" s="838"/>
      <c r="T53" s="838"/>
      <c r="U53" s="838"/>
      <c r="V53" s="838"/>
      <c r="W53" s="839"/>
    </row>
    <row r="54" spans="1:23" ht="30" customHeight="1" thickBot="1" x14ac:dyDescent="0.3">
      <c r="A54" s="271">
        <v>46</v>
      </c>
      <c r="B54" s="1102" t="s">
        <v>3411</v>
      </c>
      <c r="C54" s="1102"/>
      <c r="D54" s="1102"/>
      <c r="E54" s="1102"/>
      <c r="F54" s="1102"/>
      <c r="G54" s="1103"/>
      <c r="H54" s="838" t="str">
        <f t="shared" si="1"/>
        <v>Essai pois chiches rôtis : texture croustillante au départ mais ramollissement rapide en maintien chaud, service immédiat recommandé.</v>
      </c>
      <c r="I54" s="838"/>
      <c r="J54" s="838"/>
      <c r="K54" s="838"/>
      <c r="L54" s="838"/>
      <c r="M54" s="838"/>
      <c r="N54" s="838"/>
      <c r="O54" s="838"/>
      <c r="P54" s="838"/>
      <c r="Q54" s="838"/>
      <c r="R54" s="838"/>
      <c r="S54" s="838"/>
      <c r="T54" s="838"/>
      <c r="U54" s="838"/>
      <c r="V54" s="838"/>
      <c r="W54" s="839"/>
    </row>
    <row r="55" spans="1:23" ht="30" customHeight="1" thickBot="1" x14ac:dyDescent="0.3">
      <c r="A55" s="271">
        <v>47</v>
      </c>
      <c r="B55" s="1102" t="s">
        <v>3279</v>
      </c>
      <c r="C55" s="1102"/>
      <c r="D55" s="1102"/>
      <c r="E55" s="1102"/>
      <c r="F55" s="1102"/>
      <c r="G55" s="1103"/>
      <c r="H55" s="838" t="str">
        <f t="shared" si="1"/>
        <v>Essai protéines végétales : haché végétal à base de soja texturé, allergène soja obligatoire, assaisonnement fumé utile et coût à comparer au bœuf haché.</v>
      </c>
      <c r="I55" s="838"/>
      <c r="J55" s="838"/>
      <c r="K55" s="838"/>
      <c r="L55" s="838"/>
      <c r="M55" s="838"/>
      <c r="N55" s="838"/>
      <c r="O55" s="838"/>
      <c r="P55" s="838"/>
      <c r="Q55" s="838"/>
      <c r="R55" s="838"/>
      <c r="S55" s="838"/>
      <c r="T55" s="838"/>
      <c r="U55" s="838"/>
      <c r="V55" s="838"/>
      <c r="W55" s="839"/>
    </row>
    <row r="56" spans="1:23" ht="30" customHeight="1" thickBot="1" x14ac:dyDescent="0.3">
      <c r="A56" s="271">
        <v>48</v>
      </c>
      <c r="B56" s="1102" t="s">
        <v>3349</v>
      </c>
      <c r="C56" s="1102"/>
      <c r="D56" s="1102"/>
      <c r="E56" s="1102"/>
      <c r="F56" s="1102"/>
      <c r="G56" s="1103"/>
      <c r="H56" s="838" t="str">
        <f t="shared" si="1"/>
        <v>Essai snack : wrap végétal aux haricots rouges, sauce épicée, crudités, allergène gluten de la tortilla et satisfaction à mesurer sur vente emportée.</v>
      </c>
      <c r="I56" s="838"/>
      <c r="J56" s="838"/>
      <c r="K56" s="838"/>
      <c r="L56" s="838"/>
      <c r="M56" s="838"/>
      <c r="N56" s="838"/>
      <c r="O56" s="838"/>
      <c r="P56" s="838"/>
      <c r="Q56" s="838"/>
      <c r="R56" s="838"/>
      <c r="S56" s="838"/>
      <c r="T56" s="838"/>
      <c r="U56" s="838"/>
      <c r="V56" s="838"/>
      <c r="W56" s="839"/>
    </row>
    <row r="57" spans="1:23" ht="30" customHeight="1" thickBot="1" x14ac:dyDescent="0.3">
      <c r="A57" s="271">
        <v>49</v>
      </c>
      <c r="B57" s="1102" t="s">
        <v>3264</v>
      </c>
      <c r="C57" s="1102"/>
      <c r="D57" s="1102"/>
      <c r="E57" s="1102"/>
      <c r="F57" s="1102"/>
      <c r="G57" s="1103"/>
      <c r="H57" s="838" t="str">
        <f t="shared" si="1"/>
        <v>Essai tofu : tofu mariné avec sauce, assaisonnement renforcé, coût portion maîtrisé, satisfaction convives moyenne et allergène soja à signaler.</v>
      </c>
      <c r="I57" s="838"/>
      <c r="J57" s="838"/>
      <c r="K57" s="838"/>
      <c r="L57" s="838"/>
      <c r="M57" s="838"/>
      <c r="N57" s="838"/>
      <c r="O57" s="838"/>
      <c r="P57" s="838"/>
      <c r="Q57" s="838"/>
      <c r="R57" s="838"/>
      <c r="S57" s="838"/>
      <c r="T57" s="838"/>
      <c r="U57" s="838"/>
      <c r="V57" s="838"/>
      <c r="W57" s="839"/>
    </row>
    <row r="58" spans="1:23" ht="30" customHeight="1" thickBot="1" x14ac:dyDescent="0.3">
      <c r="A58" s="271">
        <v>50</v>
      </c>
      <c r="B58" s="1102" t="s">
        <v>3395</v>
      </c>
      <c r="C58" s="1102"/>
      <c r="D58" s="1102"/>
      <c r="E58" s="1102"/>
      <c r="F58" s="1102"/>
      <c r="G58" s="1103"/>
      <c r="H58" s="838" t="str">
        <f t="shared" si="1"/>
        <v>Évaluation jeune public : introduire sauce tomate, épices douces, fromage optionnel ou topping croustillant pour améliorer acceptation des légumineuses.</v>
      </c>
      <c r="I58" s="838"/>
      <c r="J58" s="838"/>
      <c r="K58" s="838"/>
      <c r="L58" s="838"/>
      <c r="M58" s="838"/>
      <c r="N58" s="838"/>
      <c r="O58" s="838"/>
      <c r="P58" s="838"/>
      <c r="Q58" s="838"/>
      <c r="R58" s="838"/>
      <c r="S58" s="838"/>
      <c r="T58" s="838"/>
      <c r="U58" s="838"/>
      <c r="V58" s="838"/>
      <c r="W58" s="839"/>
    </row>
    <row r="59" spans="1:23" ht="30" customHeight="1" thickBot="1" x14ac:dyDescent="0.3">
      <c r="A59" s="271">
        <v>51</v>
      </c>
      <c r="B59" s="1102" t="s">
        <v>3319</v>
      </c>
      <c r="C59" s="1102"/>
      <c r="D59" s="1102"/>
      <c r="E59" s="1102"/>
      <c r="F59" s="1102"/>
      <c r="G59" s="1103"/>
      <c r="H59" s="838" t="str">
        <f t="shared" si="1"/>
        <v>Évaluation sensorielle : noter couleur, odeur, moelleux, sauce, mâche, assaisonnement et compréhension du plat par les convives.</v>
      </c>
      <c r="I59" s="838"/>
      <c r="J59" s="838"/>
      <c r="K59" s="838"/>
      <c r="L59" s="838"/>
      <c r="M59" s="838"/>
      <c r="N59" s="838"/>
      <c r="O59" s="838"/>
      <c r="P59" s="838"/>
      <c r="Q59" s="838"/>
      <c r="R59" s="838"/>
      <c r="S59" s="838"/>
      <c r="T59" s="838"/>
      <c r="U59" s="838"/>
      <c r="V59" s="838"/>
      <c r="W59" s="839"/>
    </row>
    <row r="60" spans="1:23" ht="30" customHeight="1" thickBot="1" x14ac:dyDescent="0.3">
      <c r="A60" s="271">
        <v>52</v>
      </c>
      <c r="B60" s="1102" t="s">
        <v>3267</v>
      </c>
      <c r="C60" s="1102"/>
      <c r="D60" s="1102"/>
      <c r="E60" s="1102"/>
      <c r="F60" s="1102"/>
      <c r="G60" s="1103"/>
      <c r="H60" s="838" t="str">
        <f t="shared" si="1"/>
        <v>Fiche allergène : seitan prévu ponctuellement ; gluten à afficher avant service ; alternative sans gluten prévue pour les convives concernés.</v>
      </c>
      <c r="I60" s="838"/>
      <c r="J60" s="838"/>
      <c r="K60" s="838"/>
      <c r="L60" s="838"/>
      <c r="M60" s="838"/>
      <c r="N60" s="838"/>
      <c r="O60" s="838"/>
      <c r="P60" s="838"/>
      <c r="Q60" s="838"/>
      <c r="R60" s="838"/>
      <c r="S60" s="838"/>
      <c r="T60" s="838"/>
      <c r="U60" s="838"/>
      <c r="V60" s="838"/>
      <c r="W60" s="839"/>
    </row>
    <row r="61" spans="1:23" ht="30" customHeight="1" thickBot="1" x14ac:dyDescent="0.3">
      <c r="A61" s="271">
        <v>53</v>
      </c>
      <c r="B61" s="1102" t="s">
        <v>3283</v>
      </c>
      <c r="C61" s="1102"/>
      <c r="D61" s="1102"/>
      <c r="E61" s="1102"/>
      <c r="F61" s="1102"/>
      <c r="G61" s="1103"/>
      <c r="H61" s="838" t="str">
        <f t="shared" si="1"/>
        <v>Fiche recette : lasagnes végétales aux lentilles, béchamel contrôlée, fromage signalé si présent, portionnement régulier et acceptabilité à mesurer en fin de service.</v>
      </c>
      <c r="I61" s="838"/>
      <c r="J61" s="838"/>
      <c r="K61" s="838"/>
      <c r="L61" s="838"/>
      <c r="M61" s="838"/>
      <c r="N61" s="838"/>
      <c r="O61" s="838"/>
      <c r="P61" s="838"/>
      <c r="Q61" s="838"/>
      <c r="R61" s="838"/>
      <c r="S61" s="838"/>
      <c r="T61" s="838"/>
      <c r="U61" s="838"/>
      <c r="V61" s="838"/>
      <c r="W61" s="839"/>
    </row>
    <row r="62" spans="1:23" ht="30" customHeight="1" thickBot="1" x14ac:dyDescent="0.3">
      <c r="A62" s="271">
        <v>54</v>
      </c>
      <c r="B62" s="1102" t="s">
        <v>3259</v>
      </c>
      <c r="C62" s="1102"/>
      <c r="D62" s="1102"/>
      <c r="E62" s="1102"/>
      <c r="F62" s="1102"/>
      <c r="G62" s="1103"/>
      <c r="H62" s="838" t="str">
        <f t="shared" si="1"/>
        <v>Fiche technique : tempeh poêlé, sauce courte, goût fermenté marqué, coût supérieur au tofu, satisfaction convives à tester avant généralisation.</v>
      </c>
      <c r="I62" s="838"/>
      <c r="J62" s="838"/>
      <c r="K62" s="838"/>
      <c r="L62" s="838"/>
      <c r="M62" s="838"/>
      <c r="N62" s="838"/>
      <c r="O62" s="838"/>
      <c r="P62" s="838"/>
      <c r="Q62" s="838"/>
      <c r="R62" s="838"/>
      <c r="S62" s="838"/>
      <c r="T62" s="838"/>
      <c r="U62" s="838"/>
      <c r="V62" s="838"/>
      <c r="W62" s="839"/>
    </row>
    <row r="63" spans="1:23" ht="30" customHeight="1" thickBot="1" x14ac:dyDescent="0.3">
      <c r="A63" s="271">
        <v>55</v>
      </c>
      <c r="B63" s="1102" t="s">
        <v>3437</v>
      </c>
      <c r="C63" s="1102"/>
      <c r="D63" s="1102"/>
      <c r="E63" s="1102"/>
      <c r="F63" s="1102"/>
      <c r="G63" s="1103"/>
      <c r="H63" s="838" t="str">
        <f t="shared" si="1"/>
        <v>Formation CFA interne : faire calculer coût portion théorique puis coût réel après pertes, sauce ajoutée et restes assiette.</v>
      </c>
      <c r="I63" s="838"/>
      <c r="J63" s="838"/>
      <c r="K63" s="838"/>
      <c r="L63" s="838"/>
      <c r="M63" s="838"/>
      <c r="N63" s="838"/>
      <c r="O63" s="838"/>
      <c r="P63" s="838"/>
      <c r="Q63" s="838"/>
      <c r="R63" s="838"/>
      <c r="S63" s="838"/>
      <c r="T63" s="838"/>
      <c r="U63" s="838"/>
      <c r="V63" s="838"/>
      <c r="W63" s="839"/>
    </row>
    <row r="64" spans="1:23" ht="30" customHeight="1" thickBot="1" x14ac:dyDescent="0.3">
      <c r="A64" s="271">
        <v>56</v>
      </c>
      <c r="B64" s="1102" t="s">
        <v>3299</v>
      </c>
      <c r="C64" s="1102"/>
      <c r="D64" s="1102"/>
      <c r="E64" s="1102"/>
      <c r="F64" s="1102"/>
      <c r="G64" s="1103"/>
      <c r="H64" s="838" t="str">
        <f t="shared" si="1"/>
        <v>Formation équipe : expliquer les protéines végétales sans discours militant, avec des repères simples sur goût, équilibre, cuisson et allergènes.</v>
      </c>
      <c r="I64" s="838"/>
      <c r="J64" s="838"/>
      <c r="K64" s="838"/>
      <c r="L64" s="838"/>
      <c r="M64" s="838"/>
      <c r="N64" s="838"/>
      <c r="O64" s="838"/>
      <c r="P64" s="838"/>
      <c r="Q64" s="838"/>
      <c r="R64" s="838"/>
      <c r="S64" s="838"/>
      <c r="T64" s="838"/>
      <c r="U64" s="838"/>
      <c r="V64" s="838"/>
      <c r="W64" s="839"/>
    </row>
    <row r="65" spans="1:23" ht="30" customHeight="1" thickBot="1" x14ac:dyDescent="0.3">
      <c r="A65" s="271">
        <v>57</v>
      </c>
      <c r="B65" s="1102" t="s">
        <v>3293</v>
      </c>
      <c r="C65" s="1102"/>
      <c r="D65" s="1102"/>
      <c r="E65" s="1102"/>
      <c r="F65" s="1102"/>
      <c r="G65" s="1103"/>
      <c r="H65" s="838" t="str">
        <f t="shared" si="1"/>
        <v>Gestion allergènes : recette au lupin testée en petite série, identification claire en production, affichage obligatoire et alternative sans lupin prévue.</v>
      </c>
      <c r="I65" s="838"/>
      <c r="J65" s="838"/>
      <c r="K65" s="838"/>
      <c r="L65" s="838"/>
      <c r="M65" s="838"/>
      <c r="N65" s="838"/>
      <c r="O65" s="838"/>
      <c r="P65" s="838"/>
      <c r="Q65" s="838"/>
      <c r="R65" s="838"/>
      <c r="S65" s="838"/>
      <c r="T65" s="838"/>
      <c r="U65" s="838"/>
      <c r="V65" s="838"/>
      <c r="W65" s="839"/>
    </row>
    <row r="66" spans="1:23" ht="30" customHeight="1" thickBot="1" x14ac:dyDescent="0.3">
      <c r="A66" s="271">
        <v>58</v>
      </c>
      <c r="B66" s="1102" t="s">
        <v>3413</v>
      </c>
      <c r="C66" s="1102"/>
      <c r="D66" s="1102"/>
      <c r="E66" s="1102"/>
      <c r="F66" s="1102"/>
      <c r="G66" s="1103"/>
      <c r="H66" s="838" t="str">
        <f t="shared" si="1"/>
        <v>Gestion des restes : réemployer légumineuses cuites uniquement dans le respect refroidissement, traçabilité, DLC interne et qualité organoleptique.</v>
      </c>
      <c r="I66" s="838"/>
      <c r="J66" s="838"/>
      <c r="K66" s="838"/>
      <c r="L66" s="838"/>
      <c r="M66" s="838"/>
      <c r="N66" s="838"/>
      <c r="O66" s="838"/>
      <c r="P66" s="838"/>
      <c r="Q66" s="838"/>
      <c r="R66" s="838"/>
      <c r="S66" s="838"/>
      <c r="T66" s="838"/>
      <c r="U66" s="838"/>
      <c r="V66" s="838"/>
      <c r="W66" s="839"/>
    </row>
    <row r="67" spans="1:23" ht="30" customHeight="1" thickBot="1" x14ac:dyDescent="0.3">
      <c r="A67" s="271">
        <v>59</v>
      </c>
      <c r="B67" s="1102" t="s">
        <v>3381</v>
      </c>
      <c r="C67" s="1102"/>
      <c r="D67" s="1102"/>
      <c r="E67" s="1102"/>
      <c r="F67" s="1102"/>
      <c r="G67" s="1103"/>
      <c r="H67" s="838" t="str">
        <f t="shared" si="1"/>
        <v>Gestion du chaud : les protéines végétales absorbent la sauce pendant l’attente, prévoir marge liquide et contrôle avant mise en ligne.</v>
      </c>
      <c r="I67" s="838"/>
      <c r="J67" s="838"/>
      <c r="K67" s="838"/>
      <c r="L67" s="838"/>
      <c r="M67" s="838"/>
      <c r="N67" s="838"/>
      <c r="O67" s="838"/>
      <c r="P67" s="838"/>
      <c r="Q67" s="838"/>
      <c r="R67" s="838"/>
      <c r="S67" s="838"/>
      <c r="T67" s="838"/>
      <c r="U67" s="838"/>
      <c r="V67" s="838"/>
      <c r="W67" s="839"/>
    </row>
    <row r="68" spans="1:23" ht="30" customHeight="1" thickBot="1" x14ac:dyDescent="0.3">
      <c r="A68" s="271">
        <v>60</v>
      </c>
      <c r="B68" s="1102" t="s">
        <v>3393</v>
      </c>
      <c r="C68" s="1102"/>
      <c r="D68" s="1102"/>
      <c r="E68" s="1102"/>
      <c r="F68" s="1102"/>
      <c r="G68" s="1103"/>
      <c r="H68" s="838" t="str">
        <f t="shared" si="1"/>
        <v>Gestion imprévu : rupture pois chiches remplacés par haricots blancs, fiche technique à recalculer, texture différente et allergènes à revérifier.</v>
      </c>
      <c r="I68" s="838"/>
      <c r="J68" s="838"/>
      <c r="K68" s="838"/>
      <c r="L68" s="838"/>
      <c r="M68" s="838"/>
      <c r="N68" s="838"/>
      <c r="O68" s="838"/>
      <c r="P68" s="838"/>
      <c r="Q68" s="838"/>
      <c r="R68" s="838"/>
      <c r="S68" s="838"/>
      <c r="T68" s="838"/>
      <c r="U68" s="838"/>
      <c r="V68" s="838"/>
      <c r="W68" s="839"/>
    </row>
    <row r="69" spans="1:23" ht="30" customHeight="1" thickBot="1" x14ac:dyDescent="0.3">
      <c r="A69" s="271">
        <v>61</v>
      </c>
      <c r="B69" s="1102" t="s">
        <v>3347</v>
      </c>
      <c r="C69" s="1102"/>
      <c r="D69" s="1102"/>
      <c r="E69" s="1102"/>
      <c r="F69" s="1102"/>
      <c r="G69" s="1103"/>
      <c r="H69" s="838" t="str">
        <f t="shared" si="1"/>
        <v>Gestion stock : privilégier légumineuses sèches pour coût bas mais prévoir trempage, cuisson longue, place de stockage et organisation la veille.</v>
      </c>
      <c r="I69" s="838"/>
      <c r="J69" s="838"/>
      <c r="K69" s="838"/>
      <c r="L69" s="838"/>
      <c r="M69" s="838"/>
      <c r="N69" s="838"/>
      <c r="O69" s="838"/>
      <c r="P69" s="838"/>
      <c r="Q69" s="838"/>
      <c r="R69" s="838"/>
      <c r="S69" s="838"/>
      <c r="T69" s="838"/>
      <c r="U69" s="838"/>
      <c r="V69" s="838"/>
      <c r="W69" s="839"/>
    </row>
    <row r="70" spans="1:23" ht="30" customHeight="1" thickBot="1" x14ac:dyDescent="0.3">
      <c r="A70" s="271">
        <v>62</v>
      </c>
      <c r="B70" s="1102" t="s">
        <v>4365</v>
      </c>
      <c r="C70" s="1102"/>
      <c r="D70" s="1102"/>
      <c r="E70" s="1102"/>
      <c r="F70" s="1102"/>
      <c r="G70" s="1103"/>
      <c r="H70" s="838" t="str">
        <f t="shared" si="1"/>
        <v>Il ne faut pas dire que le plat végétal est une punition ou un plat moins bien. Il faut le présenter comme une autre recette avec des protéines.;végétal / nutrition</v>
      </c>
      <c r="I70" s="838"/>
      <c r="J70" s="838"/>
      <c r="K70" s="838"/>
      <c r="L70" s="838"/>
      <c r="M70" s="838"/>
      <c r="N70" s="838"/>
      <c r="O70" s="838"/>
      <c r="P70" s="838"/>
      <c r="Q70" s="838"/>
      <c r="R70" s="838"/>
      <c r="S70" s="838"/>
      <c r="T70" s="838"/>
      <c r="U70" s="838"/>
      <c r="V70" s="838"/>
      <c r="W70" s="839"/>
    </row>
    <row r="71" spans="1:23" ht="30" customHeight="1" thickBot="1" x14ac:dyDescent="0.3">
      <c r="A71" s="271">
        <v>63</v>
      </c>
      <c r="B71" s="1102" t="s">
        <v>4377</v>
      </c>
      <c r="C71" s="1102"/>
      <c r="D71" s="1102"/>
      <c r="E71" s="1102"/>
      <c r="F71" s="1102"/>
      <c r="G71" s="1103"/>
      <c r="H71" s="838" t="str">
        <f t="shared" si="1"/>
        <v>Il ne faut pas imposer le plat végétal sans explication. Les mots utilisés au self ou en cours peuvent changer l’envie de goûter.;alternative</v>
      </c>
      <c r="I71" s="838"/>
      <c r="J71" s="838"/>
      <c r="K71" s="838"/>
      <c r="L71" s="838"/>
      <c r="M71" s="838"/>
      <c r="N71" s="838"/>
      <c r="O71" s="838"/>
      <c r="P71" s="838"/>
      <c r="Q71" s="838"/>
      <c r="R71" s="838"/>
      <c r="S71" s="838"/>
      <c r="T71" s="838"/>
      <c r="U71" s="838"/>
      <c r="V71" s="838"/>
      <c r="W71" s="839"/>
    </row>
    <row r="72" spans="1:23" ht="30" customHeight="1" thickBot="1" x14ac:dyDescent="0.3">
      <c r="A72" s="271">
        <v>64</v>
      </c>
      <c r="B72" s="1102" t="s">
        <v>4370</v>
      </c>
      <c r="C72" s="1102"/>
      <c r="D72" s="1102"/>
      <c r="E72" s="1102"/>
      <c r="F72" s="1102"/>
      <c r="G72" s="1103"/>
      <c r="H72" s="838" t="str">
        <f t="shared" si="1"/>
        <v>Il ne faut pas opposer ceux qui mangent de la viande et ceux qui prennent un plat végétal. Le but est juste d’avoir plus de choix.;végétal</v>
      </c>
      <c r="I72" s="838"/>
      <c r="J72" s="838"/>
      <c r="K72" s="838"/>
      <c r="L72" s="838"/>
      <c r="M72" s="838"/>
      <c r="N72" s="838"/>
      <c r="O72" s="838"/>
      <c r="P72" s="838"/>
      <c r="Q72" s="838"/>
      <c r="R72" s="838"/>
      <c r="S72" s="838"/>
      <c r="T72" s="838"/>
      <c r="U72" s="838"/>
      <c r="V72" s="838"/>
      <c r="W72" s="839"/>
    </row>
    <row r="73" spans="1:23" ht="30" customHeight="1" thickBot="1" x14ac:dyDescent="0.3">
      <c r="A73" s="271">
        <v>65</v>
      </c>
      <c r="B73" s="1102" t="s">
        <v>4378</v>
      </c>
      <c r="C73" s="1102"/>
      <c r="D73" s="1102"/>
      <c r="E73" s="1102"/>
      <c r="F73" s="1102"/>
      <c r="G73" s="1103"/>
      <c r="H73" s="838" t="str">
        <f t="shared" ref="H73:H104" si="2">B73</f>
        <v>Il ne faut pas parler seulement des lentilles. Il faut aussi vérifier si on utilise pois chiches, haricots, pois cassés, fèves, soja, tofu, tempeh, lupin et graines.;lentilles / végétal / légumineuse</v>
      </c>
      <c r="I73" s="838"/>
      <c r="J73" s="838"/>
      <c r="K73" s="838"/>
      <c r="L73" s="838"/>
      <c r="M73" s="838"/>
      <c r="N73" s="838"/>
      <c r="O73" s="838"/>
      <c r="P73" s="838"/>
      <c r="Q73" s="838"/>
      <c r="R73" s="838"/>
      <c r="S73" s="838"/>
      <c r="T73" s="838"/>
      <c r="U73" s="838"/>
      <c r="V73" s="838"/>
      <c r="W73" s="839"/>
    </row>
    <row r="74" spans="1:23" ht="30" customHeight="1" thickBot="1" x14ac:dyDescent="0.3">
      <c r="A74" s="271">
        <v>66</v>
      </c>
      <c r="B74" s="1102" t="s">
        <v>3474</v>
      </c>
      <c r="C74" s="1102"/>
      <c r="D74" s="1102"/>
      <c r="E74" s="1102"/>
      <c r="F74" s="1102"/>
      <c r="G74" s="1103"/>
      <c r="H74" s="838" t="str">
        <f t="shared" si="2"/>
        <v>Il ne faut pas présenter le plat végétal comme une punition ou une baisse de qualité. Il doit être expliqué comme une autre façon de cuisiner les protéines.;végétal / nutrition</v>
      </c>
      <c r="I74" s="838"/>
      <c r="J74" s="838"/>
      <c r="K74" s="838"/>
      <c r="L74" s="838"/>
      <c r="M74" s="838"/>
      <c r="N74" s="838"/>
      <c r="O74" s="838"/>
      <c r="P74" s="838"/>
      <c r="Q74" s="838"/>
      <c r="R74" s="838"/>
      <c r="S74" s="838"/>
      <c r="T74" s="838"/>
      <c r="U74" s="838"/>
      <c r="V74" s="838"/>
      <c r="W74" s="839"/>
    </row>
    <row r="75" spans="1:23" ht="30" customHeight="1" thickBot="1" x14ac:dyDescent="0.3">
      <c r="A75" s="271">
        <v>67</v>
      </c>
      <c r="B75" s="1102" t="s">
        <v>3486</v>
      </c>
      <c r="C75" s="1102"/>
      <c r="D75" s="1102"/>
      <c r="E75" s="1102"/>
      <c r="F75" s="1102"/>
      <c r="G75" s="1103"/>
      <c r="H75" s="838" t="str">
        <f t="shared" si="2"/>
        <v>L’alternative ne doit pas être imposée sans pédagogie. Le vocabulaire utilisé en salle, sur le menu et en formation influence fortement l’acceptation du plat.;alternative</v>
      </c>
      <c r="I75" s="838"/>
      <c r="J75" s="838"/>
      <c r="K75" s="838"/>
      <c r="L75" s="838"/>
      <c r="M75" s="838"/>
      <c r="N75" s="838"/>
      <c r="O75" s="838"/>
      <c r="P75" s="838"/>
      <c r="Q75" s="838"/>
      <c r="R75" s="838"/>
      <c r="S75" s="838"/>
      <c r="T75" s="838"/>
      <c r="U75" s="838"/>
      <c r="V75" s="838"/>
      <c r="W75" s="839"/>
    </row>
    <row r="76" spans="1:23" ht="30" customHeight="1" thickBot="1" x14ac:dyDescent="0.3">
      <c r="A76" s="271">
        <v>68</v>
      </c>
      <c r="B76" s="1102" t="s">
        <v>4386</v>
      </c>
      <c r="C76" s="1102"/>
      <c r="D76" s="1102"/>
      <c r="E76" s="1102"/>
      <c r="F76" s="1102"/>
      <c r="G76" s="1103"/>
      <c r="H76" s="838" t="str">
        <f t="shared" si="2"/>
        <v>L’établissement veut mettre plus de plats végétaux petit à petit, sans faire croire que c’est une punition. On teste d’abord un chili aux haricots rouges, puis un dhal de pois cassés et une bolognaise aux lentilles. Il faut comparer le prix, le temps de préparation, les restes et l’avis des élèves.;végétal / chili / haricots rouges / dhal / lentilles / coût / gaspillage</v>
      </c>
      <c r="I76" s="838"/>
      <c r="J76" s="838"/>
      <c r="K76" s="838"/>
      <c r="L76" s="838"/>
      <c r="M76" s="838"/>
      <c r="N76" s="838"/>
      <c r="O76" s="838"/>
      <c r="P76" s="838"/>
      <c r="Q76" s="838"/>
      <c r="R76" s="838"/>
      <c r="S76" s="838"/>
      <c r="T76" s="838"/>
      <c r="U76" s="838"/>
      <c r="V76" s="838"/>
      <c r="W76" s="839"/>
    </row>
    <row r="77" spans="1:23" ht="30" customHeight="1" thickBot="1" x14ac:dyDescent="0.3">
      <c r="A77" s="271">
        <v>69</v>
      </c>
      <c r="B77" s="1102" t="s">
        <v>4384</v>
      </c>
      <c r="C77" s="1102"/>
      <c r="D77" s="1102"/>
      <c r="E77" s="1102"/>
      <c r="F77" s="1102"/>
      <c r="G77" s="1103"/>
      <c r="H77" s="838" t="str">
        <f t="shared" si="2"/>
        <v>La recette végétale est correcte sur la fiche, mais en vrai elle est sèche, pas très jolie et les élèves n’ont pas trop aimé. Il faut améliorer la sauce, le goût, la couleur et le nom du plat.;végétal / sec / sauce / goût / couleur / acceptabilité</v>
      </c>
      <c r="I77" s="838"/>
      <c r="J77" s="838"/>
      <c r="K77" s="838"/>
      <c r="L77" s="838"/>
      <c r="M77" s="838"/>
      <c r="N77" s="838"/>
      <c r="O77" s="838"/>
      <c r="P77" s="838"/>
      <c r="Q77" s="838"/>
      <c r="R77" s="838"/>
      <c r="S77" s="838"/>
      <c r="T77" s="838"/>
      <c r="U77" s="838"/>
      <c r="V77" s="838"/>
      <c r="W77" s="839"/>
    </row>
    <row r="78" spans="1:23" ht="30" customHeight="1" thickBot="1" x14ac:dyDescent="0.3">
      <c r="A78" s="271">
        <v>70</v>
      </c>
      <c r="B78" s="1102" t="s">
        <v>3475</v>
      </c>
      <c r="C78" s="1102"/>
      <c r="D78" s="1102"/>
      <c r="E78" s="1102"/>
      <c r="F78" s="1102"/>
      <c r="G78" s="1103"/>
      <c r="H78" s="838" t="str">
        <f t="shared" si="2"/>
        <v>La réussite dépend beaucoup du ressenti en bouche : une recette végétale sèche, farineuse ou mal assaisonnée sera rejetée même si elle est correcte sur le plan nutritionnel.;bouche / végétal / nutrition</v>
      </c>
      <c r="I78" s="838"/>
      <c r="J78" s="838"/>
      <c r="K78" s="838"/>
      <c r="L78" s="838"/>
      <c r="M78" s="838"/>
      <c r="N78" s="838"/>
      <c r="O78" s="838"/>
      <c r="P78" s="838"/>
      <c r="Q78" s="838"/>
      <c r="R78" s="838"/>
      <c r="S78" s="838"/>
      <c r="T78" s="838"/>
      <c r="U78" s="838"/>
      <c r="V78" s="838"/>
      <c r="W78" s="839"/>
    </row>
    <row r="79" spans="1:23" ht="30" customHeight="1" thickBot="1" x14ac:dyDescent="0.3">
      <c r="A79" s="271">
        <v>71</v>
      </c>
      <c r="B79" s="1102" t="s">
        <v>2222</v>
      </c>
      <c r="C79" s="1102"/>
      <c r="D79" s="1102"/>
      <c r="E79" s="1102"/>
      <c r="F79" s="1102"/>
      <c r="G79" s="1103"/>
      <c r="H79" s="838" t="str">
        <f t="shared" si="2"/>
        <v>Le chef propose du seitan dans un plat végétal pour améliorer la texture. Le moteur doit signaler que cette alternative contient du gluten et qu’elle nécessite un contrôle allergène strict. Le plat peut être intéressant en bouche, mais il ne doit pas être proposé comme solution unique à tous les publics.</v>
      </c>
      <c r="I79" s="838"/>
      <c r="J79" s="838"/>
      <c r="K79" s="838"/>
      <c r="L79" s="838"/>
      <c r="M79" s="838"/>
      <c r="N79" s="838"/>
      <c r="O79" s="838"/>
      <c r="P79" s="838"/>
      <c r="Q79" s="838"/>
      <c r="R79" s="838"/>
      <c r="S79" s="838"/>
      <c r="T79" s="838"/>
      <c r="U79" s="838"/>
      <c r="V79" s="838"/>
      <c r="W79" s="839"/>
    </row>
    <row r="80" spans="1:23" ht="30" customHeight="1" thickBot="1" x14ac:dyDescent="0.3">
      <c r="A80" s="271">
        <v>72</v>
      </c>
      <c r="B80" s="1102" t="s">
        <v>4382</v>
      </c>
      <c r="C80" s="1102"/>
      <c r="D80" s="1102"/>
      <c r="E80" s="1102"/>
      <c r="F80" s="1102"/>
      <c r="G80" s="1103"/>
      <c r="H80" s="838" t="str">
        <f t="shared" si="2"/>
        <v>Le chef veut mettre du seitan parce que la texture ressemble plus à de la viande. Mais il faut faire attention, car le seitan contient du gluten et ne peut pas être servi à tout le monde.;seitan / gluten / texture / allergène</v>
      </c>
      <c r="I80" s="838"/>
      <c r="J80" s="838"/>
      <c r="K80" s="838"/>
      <c r="L80" s="838"/>
      <c r="M80" s="838"/>
      <c r="N80" s="838"/>
      <c r="O80" s="838"/>
      <c r="P80" s="838"/>
      <c r="Q80" s="838"/>
      <c r="R80" s="838"/>
      <c r="S80" s="838"/>
      <c r="T80" s="838"/>
      <c r="U80" s="838"/>
      <c r="V80" s="838"/>
      <c r="W80" s="839"/>
    </row>
    <row r="81" spans="1:23" ht="30" customHeight="1" thickBot="1" x14ac:dyDescent="0.3">
      <c r="A81" s="271">
        <v>73</v>
      </c>
      <c r="B81" s="1102" t="s">
        <v>3472</v>
      </c>
      <c r="C81" s="1102"/>
      <c r="D81" s="1102"/>
      <c r="E81" s="1102"/>
      <c r="F81" s="1102"/>
      <c r="G81" s="1103"/>
      <c r="H81" s="838" t="str">
        <f t="shared" si="2"/>
        <v>Le coût portion doit être suivi avant de modifier les menus : certaines alternatives végétales sont économiques, mais demandent plus de travail en cuisine.;coût / alternative / végétal</v>
      </c>
      <c r="I81" s="838"/>
      <c r="J81" s="838"/>
      <c r="K81" s="838"/>
      <c r="L81" s="838"/>
      <c r="M81" s="838"/>
      <c r="N81" s="838"/>
      <c r="O81" s="838"/>
      <c r="P81" s="838"/>
      <c r="Q81" s="838"/>
      <c r="R81" s="838"/>
      <c r="S81" s="838"/>
      <c r="T81" s="838"/>
      <c r="U81" s="838"/>
      <c r="V81" s="838"/>
      <c r="W81" s="839"/>
    </row>
    <row r="82" spans="1:23" ht="30" customHeight="1" thickBot="1" x14ac:dyDescent="0.3">
      <c r="A82" s="271">
        <v>74</v>
      </c>
      <c r="B82" s="1102" t="s">
        <v>4387</v>
      </c>
      <c r="C82" s="1102"/>
      <c r="D82" s="1102"/>
      <c r="E82" s="1102"/>
      <c r="F82" s="1102"/>
      <c r="G82" s="1103"/>
      <c r="H82" s="838" t="str">
        <f t="shared" si="2"/>
        <v>Le formateur rappelle qu’un plat végétal doit être une vraie recette. Il faut une protéine, une garniture, une sauce et une texture agréable. Si on utilise du seitan, il faut bien afficher le gluten.;protéine / garniture / sauce / texture / seitan / gluten</v>
      </c>
      <c r="I82" s="838"/>
      <c r="J82" s="838"/>
      <c r="K82" s="838"/>
      <c r="L82" s="838"/>
      <c r="M82" s="838"/>
      <c r="N82" s="838"/>
      <c r="O82" s="838"/>
      <c r="P82" s="838"/>
      <c r="Q82" s="838"/>
      <c r="R82" s="838"/>
      <c r="S82" s="838"/>
      <c r="T82" s="838"/>
      <c r="U82" s="838"/>
      <c r="V82" s="838"/>
      <c r="W82" s="839"/>
    </row>
    <row r="83" spans="1:23" ht="30" customHeight="1" thickBot="1" x14ac:dyDescent="0.3">
      <c r="A83" s="271">
        <v>75</v>
      </c>
      <c r="B83" s="1102" t="s">
        <v>3478</v>
      </c>
      <c r="C83" s="1102"/>
      <c r="D83" s="1102"/>
      <c r="E83" s="1102"/>
      <c r="F83" s="1102"/>
      <c r="G83" s="1103"/>
      <c r="H83" s="838" t="str">
        <f t="shared" si="2"/>
        <v>Le menu peut associer une légumineuse et une céréale, par exemple pois chiches et semoule, haricots rouges et riz, ou lentilles et blé, afin d’améliorer la qualité nutritionnelle globale.;légumineuse / nutrition</v>
      </c>
      <c r="I83" s="838"/>
      <c r="J83" s="838"/>
      <c r="K83" s="838"/>
      <c r="L83" s="838"/>
      <c r="M83" s="838"/>
      <c r="N83" s="838"/>
      <c r="O83" s="838"/>
      <c r="P83" s="838"/>
      <c r="Q83" s="838"/>
      <c r="R83" s="838"/>
      <c r="S83" s="838"/>
      <c r="T83" s="838"/>
      <c r="U83" s="838"/>
      <c r="V83" s="838"/>
      <c r="W83" s="839"/>
    </row>
    <row r="84" spans="1:23" ht="30" customHeight="1" thickBot="1" x14ac:dyDescent="0.3">
      <c r="A84" s="271">
        <v>76</v>
      </c>
      <c r="B84" s="1102" t="s">
        <v>2223</v>
      </c>
      <c r="C84" s="1102"/>
      <c r="D84" s="1102"/>
      <c r="E84" s="1102"/>
      <c r="F84" s="1102"/>
      <c r="G84" s="1103"/>
      <c r="H84" s="838" t="str">
        <f t="shared" si="2"/>
        <v>Le menu végétarien est présenté comme une contrainte réglementaire. Le formateur doit reformuler : il ne s’agit pas de culpabiliser les convives ni d’opposer viande et végétal, mais d’élargir les choix, de maîtriser les coûts, de varier les sources de protéines et d’améliorer progressivement la qualité nutritionnelle.</v>
      </c>
      <c r="I84" s="838"/>
      <c r="J84" s="838"/>
      <c r="K84" s="838"/>
      <c r="L84" s="838"/>
      <c r="M84" s="838"/>
      <c r="N84" s="838"/>
      <c r="O84" s="838"/>
      <c r="P84" s="838"/>
      <c r="Q84" s="838"/>
      <c r="R84" s="838"/>
      <c r="S84" s="838"/>
      <c r="T84" s="838"/>
      <c r="U84" s="838"/>
      <c r="V84" s="838"/>
      <c r="W84" s="839"/>
    </row>
    <row r="85" spans="1:23" ht="30" customHeight="1" thickBot="1" x14ac:dyDescent="0.3">
      <c r="A85" s="271">
        <v>77</v>
      </c>
      <c r="B85" s="1102" t="s">
        <v>2224</v>
      </c>
      <c r="C85" s="1102"/>
      <c r="D85" s="1102"/>
      <c r="E85" s="1102"/>
      <c r="F85" s="1102"/>
      <c r="G85" s="1103"/>
      <c r="H85" s="838" t="str">
        <f t="shared" si="2"/>
        <v>Le plan cite trop souvent les lentilles. C’est une source utile, économique et facile à intégrer, mais elle ne doit pas masquer les autres protéines végétales : pois chiches, haricots blancs, haricots rouges, fèves, pois cassés, soja, tofu, tempeh, lupin, graines et céréales complémentaires.</v>
      </c>
      <c r="I85" s="838"/>
      <c r="J85" s="838"/>
      <c r="K85" s="838"/>
      <c r="L85" s="838"/>
      <c r="M85" s="838"/>
      <c r="N85" s="838"/>
      <c r="O85" s="838"/>
      <c r="P85" s="838"/>
      <c r="Q85" s="838"/>
      <c r="R85" s="838"/>
      <c r="S85" s="838"/>
      <c r="T85" s="838"/>
      <c r="U85" s="838"/>
      <c r="V85" s="838"/>
      <c r="W85" s="839"/>
    </row>
    <row r="86" spans="1:23" ht="30" customHeight="1" thickBot="1" x14ac:dyDescent="0.3">
      <c r="A86" s="271">
        <v>78</v>
      </c>
      <c r="B86" s="1102" t="s">
        <v>3479</v>
      </c>
      <c r="C86" s="1102"/>
      <c r="D86" s="1102"/>
      <c r="E86" s="1102"/>
      <c r="F86" s="1102"/>
      <c r="G86" s="1103"/>
      <c r="H86" s="838" t="str">
        <f t="shared" si="2"/>
        <v>Le plan doit éviter l’opposition entre mangeurs de viande et mangeurs de plats végétaux. L’objectif est d’élargir l’offre, pas de culpabiliser les publics.;végétal</v>
      </c>
      <c r="I86" s="838"/>
      <c r="J86" s="838"/>
      <c r="K86" s="838"/>
      <c r="L86" s="838"/>
      <c r="M86" s="838"/>
      <c r="N86" s="838"/>
      <c r="O86" s="838"/>
      <c r="P86" s="838"/>
      <c r="Q86" s="838"/>
      <c r="R86" s="838"/>
      <c r="S86" s="838"/>
      <c r="T86" s="838"/>
      <c r="U86" s="838"/>
      <c r="V86" s="838"/>
      <c r="W86" s="839"/>
    </row>
    <row r="87" spans="1:23" ht="30" customHeight="1" thickBot="1" x14ac:dyDescent="0.3">
      <c r="A87" s="271">
        <v>79</v>
      </c>
      <c r="B87" s="1102" t="s">
        <v>3469</v>
      </c>
      <c r="C87" s="1102"/>
      <c r="D87" s="1102"/>
      <c r="E87" s="1102"/>
      <c r="F87" s="1102"/>
      <c r="G87" s="1103"/>
      <c r="H87" s="838" t="str">
        <f t="shared" si="2"/>
        <v>Le plan ne cherche pas une substitution brutale de la viande, mais une diversification progressive avec des alternatives végétales bien expliquées aux convives.;substitution / alternative / végétal</v>
      </c>
      <c r="I87" s="838"/>
      <c r="J87" s="838"/>
      <c r="K87" s="838"/>
      <c r="L87" s="838"/>
      <c r="M87" s="838"/>
      <c r="N87" s="838"/>
      <c r="O87" s="838"/>
      <c r="P87" s="838"/>
      <c r="Q87" s="838"/>
      <c r="R87" s="838"/>
      <c r="S87" s="838"/>
      <c r="T87" s="838"/>
      <c r="U87" s="838"/>
      <c r="V87" s="838"/>
      <c r="W87" s="839"/>
    </row>
    <row r="88" spans="1:23" ht="30" customHeight="1" thickBot="1" x14ac:dyDescent="0.3">
      <c r="A88" s="271">
        <v>80</v>
      </c>
      <c r="B88" s="1102" t="s">
        <v>4385</v>
      </c>
      <c r="C88" s="1102"/>
      <c r="D88" s="1102"/>
      <c r="E88" s="1102"/>
      <c r="F88" s="1102"/>
      <c r="G88" s="1103"/>
      <c r="H88" s="838" t="str">
        <f t="shared" si="2"/>
        <v>Le plan parle trop souvent des lentilles. Les lentilles sont utiles, mais il faut aussi varier avec pois chiches, haricots blancs, haricots rouges, fèves, pois cassés, soja, tofu, tempeh, lupin, graines et céréales.;lentilles / pois chiches / haricots / tofu / tempeh / diversité</v>
      </c>
      <c r="I88" s="838"/>
      <c r="J88" s="838"/>
      <c r="K88" s="838"/>
      <c r="L88" s="838"/>
      <c r="M88" s="838"/>
      <c r="N88" s="838"/>
      <c r="O88" s="838"/>
      <c r="P88" s="838"/>
      <c r="Q88" s="838"/>
      <c r="R88" s="838"/>
      <c r="S88" s="838"/>
      <c r="T88" s="838"/>
      <c r="U88" s="838"/>
      <c r="V88" s="838"/>
      <c r="W88" s="839"/>
    </row>
    <row r="89" spans="1:23" ht="30" customHeight="1" thickBot="1" x14ac:dyDescent="0.3">
      <c r="A89" s="271">
        <v>81</v>
      </c>
      <c r="B89" s="1102" t="s">
        <v>3485</v>
      </c>
      <c r="C89" s="1102"/>
      <c r="D89" s="1102"/>
      <c r="E89" s="1102"/>
      <c r="F89" s="1102"/>
      <c r="G89" s="1103"/>
      <c r="H89" s="838" t="str">
        <f t="shared" si="2"/>
        <v>Le plan pluriannuel doit commencer par des plats connus : chili, dhal, couscous végétal, curry de pois chiches, bolognaise de lentilles ou galette de haricots.;végétal / lentilles / pois chiches</v>
      </c>
      <c r="I89" s="838"/>
      <c r="J89" s="838"/>
      <c r="K89" s="838"/>
      <c r="L89" s="838"/>
      <c r="M89" s="838"/>
      <c r="N89" s="838"/>
      <c r="O89" s="838"/>
      <c r="P89" s="838"/>
      <c r="Q89" s="838"/>
      <c r="R89" s="838"/>
      <c r="S89" s="838"/>
      <c r="T89" s="838"/>
      <c r="U89" s="838"/>
      <c r="V89" s="838"/>
      <c r="W89" s="839"/>
    </row>
    <row r="90" spans="1:23" ht="30" customHeight="1" thickBot="1" x14ac:dyDescent="0.3">
      <c r="A90" s="271">
        <v>82</v>
      </c>
      <c r="B90" s="1102" t="s">
        <v>3482</v>
      </c>
      <c r="C90" s="1102"/>
      <c r="D90" s="1102"/>
      <c r="E90" s="1102"/>
      <c r="F90" s="1102"/>
      <c r="G90" s="1103"/>
      <c r="H90" s="838" t="str">
        <f t="shared" si="2"/>
        <v>Le remplacement partiel d’une protéine animale par une légumineuse peut fonctionner dans une sauce, un gratin, un hachis ou une farce, mais il faut garder une cohérence culinaire.;substitution / légumineuse</v>
      </c>
      <c r="I90" s="838"/>
      <c r="J90" s="838"/>
      <c r="K90" s="838"/>
      <c r="L90" s="838"/>
      <c r="M90" s="838"/>
      <c r="N90" s="838"/>
      <c r="O90" s="838"/>
      <c r="P90" s="838"/>
      <c r="Q90" s="838"/>
      <c r="R90" s="838"/>
      <c r="S90" s="838"/>
      <c r="T90" s="838"/>
      <c r="U90" s="838"/>
      <c r="V90" s="838"/>
      <c r="W90" s="839"/>
    </row>
    <row r="91" spans="1:23" ht="30" customHeight="1" thickBot="1" x14ac:dyDescent="0.3">
      <c r="A91" s="271">
        <v>83</v>
      </c>
      <c r="B91" s="1102" t="s">
        <v>2221</v>
      </c>
      <c r="C91" s="1102"/>
      <c r="D91" s="1102"/>
      <c r="E91" s="1102"/>
      <c r="F91" s="1102"/>
      <c r="G91" s="1103"/>
      <c r="H91" s="838" t="str">
        <f t="shared" si="2"/>
        <v>Le responsable de production veut réduire le coût matière en remplaçant une partie de la viande par des protéines végétales. La solution proposée est une bolognaise de lentilles, mais le formateur demande de ne pas se limiter aux lentilles et de tester aussi pois chiches, haricots rouges, pois cassés et tofu. L’audit doit vérifier le coût portion, la diversité des sources, l’acceptabilité des convives et le gaspillage.</v>
      </c>
      <c r="I91" s="838"/>
      <c r="J91" s="838"/>
      <c r="K91" s="838"/>
      <c r="L91" s="838"/>
      <c r="M91" s="838"/>
      <c r="N91" s="838"/>
      <c r="O91" s="838"/>
      <c r="P91" s="838"/>
      <c r="Q91" s="838"/>
      <c r="R91" s="838"/>
      <c r="S91" s="838"/>
      <c r="T91" s="838"/>
      <c r="U91" s="838"/>
      <c r="V91" s="838"/>
      <c r="W91" s="839"/>
    </row>
    <row r="92" spans="1:23" ht="30" customHeight="1" thickBot="1" x14ac:dyDescent="0.3">
      <c r="A92" s="271">
        <v>84</v>
      </c>
      <c r="B92" s="1102" t="s">
        <v>4381</v>
      </c>
      <c r="C92" s="1102"/>
      <c r="D92" s="1102"/>
      <c r="E92" s="1102"/>
      <c r="F92" s="1102"/>
      <c r="G92" s="1103"/>
      <c r="H92" s="838" t="str">
        <f t="shared" si="2"/>
        <v>Le responsable veut baisser le coût en mettant moins de viande et plus de protéines végétales. On propose une bolognaise aux lentilles, mais il faut aussi essayer pois chiches, haricots rouges, pois cassés et tofu. Il faut regarder le prix, les restes et si les élèves aiment.;coût / viande / lentilles / pois chiches / tofu / gaspillage</v>
      </c>
      <c r="I92" s="838"/>
      <c r="J92" s="838"/>
      <c r="K92" s="838"/>
      <c r="L92" s="838"/>
      <c r="M92" s="838"/>
      <c r="N92" s="838"/>
      <c r="O92" s="838"/>
      <c r="P92" s="838"/>
      <c r="Q92" s="838"/>
      <c r="R92" s="838"/>
      <c r="S92" s="838"/>
      <c r="T92" s="838"/>
      <c r="U92" s="838"/>
      <c r="V92" s="838"/>
      <c r="W92" s="839"/>
    </row>
    <row r="93" spans="1:23" ht="30" customHeight="1" thickBot="1" x14ac:dyDescent="0.3">
      <c r="A93" s="271">
        <v>85</v>
      </c>
      <c r="B93" s="1102" t="s">
        <v>3489</v>
      </c>
      <c r="C93" s="1102"/>
      <c r="D93" s="1102"/>
      <c r="E93" s="1102"/>
      <c r="F93" s="1102"/>
      <c r="G93" s="1103"/>
      <c r="H93" s="838" t="str">
        <f t="shared" si="2"/>
        <v>Le seitan contient du gluten : il ne doit jamais être utilisé comme solution universelle et doit rester clairement identifié dans le plan allergènes.;seitan / gluten</v>
      </c>
      <c r="I93" s="838"/>
      <c r="J93" s="838"/>
      <c r="K93" s="838"/>
      <c r="L93" s="838"/>
      <c r="M93" s="838"/>
      <c r="N93" s="838"/>
      <c r="O93" s="838"/>
      <c r="P93" s="838"/>
      <c r="Q93" s="838"/>
      <c r="R93" s="838"/>
      <c r="S93" s="838"/>
      <c r="T93" s="838"/>
      <c r="U93" s="838"/>
      <c r="V93" s="838"/>
      <c r="W93" s="839"/>
    </row>
    <row r="94" spans="1:23" ht="30" customHeight="1" thickBot="1" x14ac:dyDescent="0.3">
      <c r="A94" s="271">
        <v>86</v>
      </c>
      <c r="B94" s="1102" t="s">
        <v>4380</v>
      </c>
      <c r="C94" s="1102"/>
      <c r="D94" s="1102"/>
      <c r="E94" s="1102"/>
      <c r="F94" s="1102"/>
      <c r="G94" s="1103"/>
      <c r="H94" s="838" t="str">
        <f t="shared" si="2"/>
        <v>Le seitan contient du gluten, donc il ne peut pas convenir à tout le monde. Il doit être bien noté dans les allergènes.;seitan / gluten</v>
      </c>
      <c r="I94" s="838"/>
      <c r="J94" s="838"/>
      <c r="K94" s="838"/>
      <c r="L94" s="838"/>
      <c r="M94" s="838"/>
      <c r="N94" s="838"/>
      <c r="O94" s="838"/>
      <c r="P94" s="838"/>
      <c r="Q94" s="838"/>
      <c r="R94" s="838"/>
      <c r="S94" s="838"/>
      <c r="T94" s="838"/>
      <c r="U94" s="838"/>
      <c r="V94" s="838"/>
      <c r="W94" s="839"/>
    </row>
    <row r="95" spans="1:23" ht="30" customHeight="1" thickBot="1" x14ac:dyDescent="0.3">
      <c r="A95" s="271">
        <v>87</v>
      </c>
      <c r="B95" s="1102" t="s">
        <v>3473</v>
      </c>
      <c r="C95" s="1102"/>
      <c r="D95" s="1102"/>
      <c r="E95" s="1102"/>
      <c r="F95" s="1102"/>
      <c r="G95" s="1103"/>
      <c r="H95" s="838" t="str">
        <f t="shared" si="2"/>
        <v>Le seitan peut être utilisé ponctuellement, mais uniquement avec un contrôle clair de l’allergène gluten et une information précise pour les convives.;seitan / gluten</v>
      </c>
      <c r="I95" s="838"/>
      <c r="J95" s="838"/>
      <c r="K95" s="838"/>
      <c r="L95" s="838"/>
      <c r="M95" s="838"/>
      <c r="N95" s="838"/>
      <c r="O95" s="838"/>
      <c r="P95" s="838"/>
      <c r="Q95" s="838"/>
      <c r="R95" s="838"/>
      <c r="S95" s="838"/>
      <c r="T95" s="838"/>
      <c r="U95" s="838"/>
      <c r="V95" s="838"/>
      <c r="W95" s="839"/>
    </row>
    <row r="96" spans="1:23" ht="30" customHeight="1" thickBot="1" x14ac:dyDescent="0.3">
      <c r="A96" s="271">
        <v>88</v>
      </c>
      <c r="B96" s="1102" t="s">
        <v>4364</v>
      </c>
      <c r="C96" s="1102"/>
      <c r="D96" s="1102"/>
      <c r="E96" s="1102"/>
      <c r="F96" s="1102"/>
      <c r="G96" s="1103"/>
      <c r="H96" s="838" t="str">
        <f t="shared" si="2"/>
        <v>Le seitan peut être utilisé, mais il contient du gluten. Il faut donc l’indiquer clairement avant le service.;seitan / gluten</v>
      </c>
      <c r="I96" s="838"/>
      <c r="J96" s="838"/>
      <c r="K96" s="838"/>
      <c r="L96" s="838"/>
      <c r="M96" s="838"/>
      <c r="N96" s="838"/>
      <c r="O96" s="838"/>
      <c r="P96" s="838"/>
      <c r="Q96" s="838"/>
      <c r="R96" s="838"/>
      <c r="S96" s="838"/>
      <c r="T96" s="838"/>
      <c r="U96" s="838"/>
      <c r="V96" s="838"/>
      <c r="W96" s="839"/>
    </row>
    <row r="97" spans="1:23" ht="30" customHeight="1" thickBot="1" x14ac:dyDescent="0.3">
      <c r="A97" s="271">
        <v>89</v>
      </c>
      <c r="B97" s="1102" t="s">
        <v>3484</v>
      </c>
      <c r="C97" s="1102"/>
      <c r="D97" s="1102"/>
      <c r="E97" s="1102"/>
      <c r="F97" s="1102"/>
      <c r="G97" s="1103"/>
      <c r="H97" s="838" t="str">
        <f t="shared" si="2"/>
        <v>Le suivi annuel doit mesurer le nombre de menus végétariens, la variété des protéines végétales, le coût portion, le gaspillage et la satisfaction des convives.;végétal / coût</v>
      </c>
      <c r="I97" s="838"/>
      <c r="J97" s="838"/>
      <c r="K97" s="838"/>
      <c r="L97" s="838"/>
      <c r="M97" s="838"/>
      <c r="N97" s="838"/>
      <c r="O97" s="838"/>
      <c r="P97" s="838"/>
      <c r="Q97" s="838"/>
      <c r="R97" s="838"/>
      <c r="S97" s="838"/>
      <c r="T97" s="838"/>
      <c r="U97" s="838"/>
      <c r="V97" s="838"/>
      <c r="W97" s="839"/>
    </row>
    <row r="98" spans="1:23" ht="30" customHeight="1" thickBot="1" x14ac:dyDescent="0.3">
      <c r="A98" s="271">
        <v>90</v>
      </c>
      <c r="B98" s="1102" t="s">
        <v>3481</v>
      </c>
      <c r="C98" s="1102"/>
      <c r="D98" s="1102"/>
      <c r="E98" s="1102"/>
      <c r="F98" s="1102"/>
      <c r="G98" s="1103"/>
      <c r="H98" s="838" t="str">
        <f t="shared" si="2"/>
        <v>Le tofu n’est pas une solution magique : il doit être mariné, saisi, assaisonné et intégré dans une recette identifiable pour améliorer le ressenti en bouche.;bouche / végétal</v>
      </c>
      <c r="I98" s="838"/>
      <c r="J98" s="838"/>
      <c r="K98" s="838"/>
      <c r="L98" s="838"/>
      <c r="M98" s="838"/>
      <c r="N98" s="838"/>
      <c r="O98" s="838"/>
      <c r="P98" s="838"/>
      <c r="Q98" s="838"/>
      <c r="R98" s="838"/>
      <c r="S98" s="838"/>
      <c r="T98" s="838"/>
      <c r="U98" s="838"/>
      <c r="V98" s="838"/>
      <c r="W98" s="839"/>
    </row>
    <row r="99" spans="1:23" ht="30" customHeight="1" thickBot="1" x14ac:dyDescent="0.3">
      <c r="A99" s="271">
        <v>91</v>
      </c>
      <c r="B99" s="1102" t="s">
        <v>4372</v>
      </c>
      <c r="C99" s="1102"/>
      <c r="D99" s="1102"/>
      <c r="E99" s="1102"/>
      <c r="F99" s="1102"/>
      <c r="G99" s="1103"/>
      <c r="H99" s="838" t="str">
        <f t="shared" si="2"/>
        <v>Le tofu tout seul n’est pas terrible. Il faut le mariner, l’assaisonner et le mettre dans une vraie recette pour qu’il ait du goût.;bouche / végétal</v>
      </c>
      <c r="I99" s="838"/>
      <c r="J99" s="838"/>
      <c r="K99" s="838"/>
      <c r="L99" s="838"/>
      <c r="M99" s="838"/>
      <c r="N99" s="838"/>
      <c r="O99" s="838"/>
      <c r="P99" s="838"/>
      <c r="Q99" s="838"/>
      <c r="R99" s="838"/>
      <c r="S99" s="838"/>
      <c r="T99" s="838"/>
      <c r="U99" s="838"/>
      <c r="V99" s="838"/>
      <c r="W99" s="839"/>
    </row>
    <row r="100" spans="1:23" ht="30" customHeight="1" thickBot="1" x14ac:dyDescent="0.3">
      <c r="A100" s="271">
        <v>92</v>
      </c>
      <c r="B100" s="1102" t="s">
        <v>4367</v>
      </c>
      <c r="C100" s="1102"/>
      <c r="D100" s="1102"/>
      <c r="E100" s="1102"/>
      <c r="F100" s="1102"/>
      <c r="G100" s="1103"/>
      <c r="H100" s="838" t="str">
        <f t="shared" si="2"/>
        <v>Les lentilles c’est bien, mais il faut aussi utiliser pois chiches, haricots rouges, haricots blancs, pois cassés, fèves, soja, tofu, tempeh et céréales.;légumineuse / végétal / nutrition</v>
      </c>
      <c r="I100" s="838"/>
      <c r="J100" s="838"/>
      <c r="K100" s="838"/>
      <c r="L100" s="838"/>
      <c r="M100" s="838"/>
      <c r="N100" s="838"/>
      <c r="O100" s="838"/>
      <c r="P100" s="838"/>
      <c r="Q100" s="838"/>
      <c r="R100" s="838"/>
      <c r="S100" s="838"/>
      <c r="T100" s="838"/>
      <c r="U100" s="838"/>
      <c r="V100" s="838"/>
      <c r="W100" s="839"/>
    </row>
    <row r="101" spans="1:23" ht="30" customHeight="1" thickBot="1" x14ac:dyDescent="0.3">
      <c r="A101" s="271">
        <v>93</v>
      </c>
      <c r="B101" s="1102" t="s">
        <v>3476</v>
      </c>
      <c r="C101" s="1102"/>
      <c r="D101" s="1102"/>
      <c r="E101" s="1102"/>
      <c r="F101" s="1102"/>
      <c r="G101" s="1103"/>
      <c r="H101" s="838" t="str">
        <f t="shared" si="2"/>
        <v>Les lentilles sont utiles, mais le plan doit aussi intégrer pois chiches, haricots rouges, haricots blancs, pois cassés, fèves, soja, tofu, tempeh et céréales complémentaires.;légumineuse / végétal / nutrition</v>
      </c>
      <c r="I101" s="838"/>
      <c r="J101" s="838"/>
      <c r="K101" s="838"/>
      <c r="L101" s="838"/>
      <c r="M101" s="838"/>
      <c r="N101" s="838"/>
      <c r="O101" s="838"/>
      <c r="P101" s="838"/>
      <c r="Q101" s="838"/>
      <c r="R101" s="838"/>
      <c r="S101" s="838"/>
      <c r="T101" s="838"/>
      <c r="U101" s="838"/>
      <c r="V101" s="838"/>
      <c r="W101" s="839"/>
    </row>
    <row r="102" spans="1:23" ht="30" customHeight="1" thickBot="1" x14ac:dyDescent="0.3">
      <c r="A102" s="271">
        <v>94</v>
      </c>
      <c r="B102" s="1102" t="s">
        <v>4362</v>
      </c>
      <c r="C102" s="1102"/>
      <c r="D102" s="1102"/>
      <c r="E102" s="1102"/>
      <c r="F102" s="1102"/>
      <c r="G102" s="1103"/>
      <c r="H102" s="838" t="str">
        <f t="shared" si="2"/>
        <v>Les pois chiches peuvent aider à remplacer un peu la viande, mais il faut travailler le goût, la sauce et la texture pour que ça passe bien en bouche.;légumineuse / protéine / bouche / texture / goût</v>
      </c>
      <c r="I102" s="838"/>
      <c r="J102" s="838"/>
      <c r="K102" s="838"/>
      <c r="L102" s="838"/>
      <c r="M102" s="838"/>
      <c r="N102" s="838"/>
      <c r="O102" s="838"/>
      <c r="P102" s="838"/>
      <c r="Q102" s="838"/>
      <c r="R102" s="838"/>
      <c r="S102" s="838"/>
      <c r="T102" s="838"/>
      <c r="U102" s="838"/>
      <c r="V102" s="838"/>
      <c r="W102" s="839"/>
    </row>
    <row r="103" spans="1:23" ht="30" customHeight="1" thickBot="1" x14ac:dyDescent="0.3">
      <c r="A103" s="271">
        <v>95</v>
      </c>
      <c r="B103" s="1102" t="s">
        <v>4361</v>
      </c>
      <c r="C103" s="1102"/>
      <c r="D103" s="1102"/>
      <c r="E103" s="1102"/>
      <c r="F103" s="1102"/>
      <c r="G103" s="1103"/>
      <c r="H103" s="838" t="str">
        <f t="shared" si="2"/>
        <v>Les pois chiches peuvent remplacer une partie de la viande dans un plat, mais il faut que ce soit bon, pas sec et avec une bonne texture.;légumineuse / protéine / texture-goût</v>
      </c>
      <c r="I103" s="838"/>
      <c r="J103" s="838"/>
      <c r="K103" s="838"/>
      <c r="L103" s="838"/>
      <c r="M103" s="838"/>
      <c r="N103" s="838"/>
      <c r="O103" s="838"/>
      <c r="P103" s="838"/>
      <c r="Q103" s="838"/>
      <c r="R103" s="838"/>
      <c r="S103" s="838"/>
      <c r="T103" s="838"/>
      <c r="U103" s="838"/>
      <c r="V103" s="838"/>
      <c r="W103" s="839"/>
    </row>
    <row r="104" spans="1:23" ht="30" customHeight="1" thickBot="1" x14ac:dyDescent="0.3">
      <c r="A104" s="271">
        <v>96</v>
      </c>
      <c r="B104" s="1102" t="s">
        <v>4366</v>
      </c>
      <c r="C104" s="1102"/>
      <c r="D104" s="1102"/>
      <c r="E104" s="1102"/>
      <c r="F104" s="1102"/>
      <c r="G104" s="1103"/>
      <c r="H104" s="838" t="str">
        <f t="shared" si="2"/>
        <v>Même si le plat végétal est équilibré, les élèves ne le mangeront pas s’il est sec, farineux ou mal assaisonné.;bouche / végétal / nutrition</v>
      </c>
      <c r="I104" s="838"/>
      <c r="J104" s="838"/>
      <c r="K104" s="838"/>
      <c r="L104" s="838"/>
      <c r="M104" s="838"/>
      <c r="N104" s="838"/>
      <c r="O104" s="838"/>
      <c r="P104" s="838"/>
      <c r="Q104" s="838"/>
      <c r="R104" s="838"/>
      <c r="S104" s="838"/>
      <c r="T104" s="838"/>
      <c r="U104" s="838"/>
      <c r="V104" s="838"/>
      <c r="W104" s="839"/>
    </row>
    <row r="105" spans="1:23" ht="30" customHeight="1" thickBot="1" x14ac:dyDescent="0.3">
      <c r="A105" s="271">
        <v>97</v>
      </c>
      <c r="B105" s="1102" t="s">
        <v>3337</v>
      </c>
      <c r="C105" s="1102"/>
      <c r="D105" s="1102"/>
      <c r="E105" s="1102"/>
      <c r="F105" s="1102"/>
      <c r="G105" s="1103"/>
      <c r="H105" s="838" t="str">
        <f t="shared" ref="H105:H136" si="3">B105</f>
        <v>Menu à thème : couscous végétal aux pois chiches, légumes, semoule, raisins et sauce épicée douce avec allergène gluten à déclarer.</v>
      </c>
      <c r="I105" s="838"/>
      <c r="J105" s="838"/>
      <c r="K105" s="838"/>
      <c r="L105" s="838"/>
      <c r="M105" s="838"/>
      <c r="N105" s="838"/>
      <c r="O105" s="838"/>
      <c r="P105" s="838"/>
      <c r="Q105" s="838"/>
      <c r="R105" s="838"/>
      <c r="S105" s="838"/>
      <c r="T105" s="838"/>
      <c r="U105" s="838"/>
      <c r="V105" s="838"/>
      <c r="W105" s="839"/>
    </row>
    <row r="106" spans="1:23" ht="30" customHeight="1" thickBot="1" x14ac:dyDescent="0.3">
      <c r="A106" s="271">
        <v>98</v>
      </c>
      <c r="B106" s="1102" t="s">
        <v>3357</v>
      </c>
      <c r="C106" s="1102"/>
      <c r="D106" s="1102"/>
      <c r="E106" s="1102"/>
      <c r="F106" s="1102"/>
      <c r="G106" s="1103"/>
      <c r="H106" s="838" t="str">
        <f t="shared" si="3"/>
        <v>Menu adultes : salade tiède de lentilles, œuf optionnel, légumes grillés et vinaigrette moutardée, allergènes à adapter selon composition finale.</v>
      </c>
      <c r="I106" s="838"/>
      <c r="J106" s="838"/>
      <c r="K106" s="838"/>
      <c r="L106" s="838"/>
      <c r="M106" s="838"/>
      <c r="N106" s="838"/>
      <c r="O106" s="838"/>
      <c r="P106" s="838"/>
      <c r="Q106" s="838"/>
      <c r="R106" s="838"/>
      <c r="S106" s="838"/>
      <c r="T106" s="838"/>
      <c r="U106" s="838"/>
      <c r="V106" s="838"/>
      <c r="W106" s="839"/>
    </row>
    <row r="107" spans="1:23" ht="30" customHeight="1" thickBot="1" x14ac:dyDescent="0.3">
      <c r="A107" s="271">
        <v>99</v>
      </c>
      <c r="B107" s="1102" t="s">
        <v>3383</v>
      </c>
      <c r="C107" s="1102"/>
      <c r="D107" s="1102"/>
      <c r="E107" s="1102"/>
      <c r="F107" s="1102"/>
      <c r="G107" s="1103"/>
      <c r="H107" s="838" t="str">
        <f t="shared" si="3"/>
        <v>Menu crèche : recette végétale douce, peu épicée, texture adaptée, allergènes strictement vérifiés et introduction validée selon protocole interne.</v>
      </c>
      <c r="I107" s="838"/>
      <c r="J107" s="838"/>
      <c r="K107" s="838"/>
      <c r="L107" s="838"/>
      <c r="M107" s="838"/>
      <c r="N107" s="838"/>
      <c r="O107" s="838"/>
      <c r="P107" s="838"/>
      <c r="Q107" s="838"/>
      <c r="R107" s="838"/>
      <c r="S107" s="838"/>
      <c r="T107" s="838"/>
      <c r="U107" s="838"/>
      <c r="V107" s="838"/>
      <c r="W107" s="839"/>
    </row>
    <row r="108" spans="1:23" ht="30" customHeight="1" thickBot="1" x14ac:dyDescent="0.3">
      <c r="A108" s="271">
        <v>100</v>
      </c>
      <c r="B108" s="1102" t="s">
        <v>3317</v>
      </c>
      <c r="C108" s="1102"/>
      <c r="D108" s="1102"/>
      <c r="E108" s="1102"/>
      <c r="F108" s="1102"/>
      <c r="G108" s="1103"/>
      <c r="H108" s="838" t="str">
        <f t="shared" si="3"/>
        <v>Menu durable : réduire progressivement la viande dans un hachis en ajoutant lentilles et légumes sans modifier brutalement le profil gustatif.</v>
      </c>
      <c r="I108" s="838"/>
      <c r="J108" s="838"/>
      <c r="K108" s="838"/>
      <c r="L108" s="838"/>
      <c r="M108" s="838"/>
      <c r="N108" s="838"/>
      <c r="O108" s="838"/>
      <c r="P108" s="838"/>
      <c r="Q108" s="838"/>
      <c r="R108" s="838"/>
      <c r="S108" s="838"/>
      <c r="T108" s="838"/>
      <c r="U108" s="838"/>
      <c r="V108" s="838"/>
      <c r="W108" s="839"/>
    </row>
    <row r="109" spans="1:23" ht="30" customHeight="1" thickBot="1" x14ac:dyDescent="0.3">
      <c r="A109" s="271">
        <v>101</v>
      </c>
      <c r="B109" s="1102" t="s">
        <v>3291</v>
      </c>
      <c r="C109" s="1102"/>
      <c r="D109" s="1102"/>
      <c r="E109" s="1102"/>
      <c r="F109" s="1102"/>
      <c r="G109" s="1103"/>
      <c r="H109" s="838" t="str">
        <f t="shared" si="3"/>
        <v>Menu EHPAD : parmentier végétal aux lentilles corail, texture mixable, sauce intégrée, fibres modérées et contrôle de la tolérance digestive.</v>
      </c>
      <c r="I109" s="838"/>
      <c r="J109" s="838"/>
      <c r="K109" s="838"/>
      <c r="L109" s="838"/>
      <c r="M109" s="838"/>
      <c r="N109" s="838"/>
      <c r="O109" s="838"/>
      <c r="P109" s="838"/>
      <c r="Q109" s="838"/>
      <c r="R109" s="838"/>
      <c r="S109" s="838"/>
      <c r="T109" s="838"/>
      <c r="U109" s="838"/>
      <c r="V109" s="838"/>
      <c r="W109" s="839"/>
    </row>
    <row r="110" spans="1:23" ht="30" customHeight="1" thickBot="1" x14ac:dyDescent="0.3">
      <c r="A110" s="271">
        <v>102</v>
      </c>
      <c r="B110" s="1102" t="s">
        <v>3431</v>
      </c>
      <c r="C110" s="1102"/>
      <c r="D110" s="1102"/>
      <c r="E110" s="1102"/>
      <c r="F110" s="1102"/>
      <c r="G110" s="1103"/>
      <c r="H110" s="838" t="str">
        <f t="shared" si="3"/>
        <v>Menu flexitarien : proposer sauce bolognaise moitié viande moitié lentilles pour transition, mesurer acceptabilité et réduire rejet initial.</v>
      </c>
      <c r="I110" s="838"/>
      <c r="J110" s="838"/>
      <c r="K110" s="838"/>
      <c r="L110" s="838"/>
      <c r="M110" s="838"/>
      <c r="N110" s="838"/>
      <c r="O110" s="838"/>
      <c r="P110" s="838"/>
      <c r="Q110" s="838"/>
      <c r="R110" s="838"/>
      <c r="S110" s="838"/>
      <c r="T110" s="838"/>
      <c r="U110" s="838"/>
      <c r="V110" s="838"/>
      <c r="W110" s="839"/>
    </row>
    <row r="111" spans="1:23" ht="30" customHeight="1" thickBot="1" x14ac:dyDescent="0.3">
      <c r="A111" s="271">
        <v>103</v>
      </c>
      <c r="B111" s="1102" t="s">
        <v>3365</v>
      </c>
      <c r="C111" s="1102"/>
      <c r="D111" s="1102"/>
      <c r="E111" s="1102"/>
      <c r="F111" s="1102"/>
      <c r="G111" s="1103"/>
      <c r="H111" s="838" t="str">
        <f t="shared" si="3"/>
        <v>Menu inclusif : prévoir option végétale appétente pour tous sans la réserver uniquement aux régimes particuliers ou aux convives végétariens.</v>
      </c>
      <c r="I111" s="838"/>
      <c r="J111" s="838"/>
      <c r="K111" s="838"/>
      <c r="L111" s="838"/>
      <c r="M111" s="838"/>
      <c r="N111" s="838"/>
      <c r="O111" s="838"/>
      <c r="P111" s="838"/>
      <c r="Q111" s="838"/>
      <c r="R111" s="838"/>
      <c r="S111" s="838"/>
      <c r="T111" s="838"/>
      <c r="U111" s="838"/>
      <c r="V111" s="838"/>
      <c r="W111" s="839"/>
    </row>
    <row r="112" spans="1:23" ht="30" customHeight="1" thickBot="1" x14ac:dyDescent="0.3">
      <c r="A112" s="271">
        <v>104</v>
      </c>
      <c r="B112" s="1102" t="s">
        <v>3453</v>
      </c>
      <c r="C112" s="1102"/>
      <c r="D112" s="1102"/>
      <c r="E112" s="1102"/>
      <c r="F112" s="1102"/>
      <c r="G112" s="1103"/>
      <c r="H112" s="838" t="str">
        <f t="shared" si="3"/>
        <v>Menu mixte : ne pas supprimer brutalement la viande, introduire recettes végétales lisibles et travaillées pour éviter rejet de principe.</v>
      </c>
      <c r="I112" s="838"/>
      <c r="J112" s="838"/>
      <c r="K112" s="838"/>
      <c r="L112" s="838"/>
      <c r="M112" s="838"/>
      <c r="N112" s="838"/>
      <c r="O112" s="838"/>
      <c r="P112" s="838"/>
      <c r="Q112" s="838"/>
      <c r="R112" s="838"/>
      <c r="S112" s="838"/>
      <c r="T112" s="838"/>
      <c r="U112" s="838"/>
      <c r="V112" s="838"/>
      <c r="W112" s="839"/>
    </row>
    <row r="113" spans="1:23" ht="30" customHeight="1" thickBot="1" x14ac:dyDescent="0.3">
      <c r="A113" s="271">
        <v>105</v>
      </c>
      <c r="B113" s="1102" t="s">
        <v>3441</v>
      </c>
      <c r="C113" s="1102"/>
      <c r="D113" s="1102"/>
      <c r="E113" s="1102"/>
      <c r="F113" s="1102"/>
      <c r="G113" s="1103"/>
      <c r="H113" s="838" t="str">
        <f t="shared" si="3"/>
        <v>Menu sans soja : privilégier lentilles, haricots, pois cassés et pois chiches pour éviter allergène soja dans une offre végétale régulière.</v>
      </c>
      <c r="I113" s="838"/>
      <c r="J113" s="838"/>
      <c r="K113" s="838"/>
      <c r="L113" s="838"/>
      <c r="M113" s="838"/>
      <c r="N113" s="838"/>
      <c r="O113" s="838"/>
      <c r="P113" s="838"/>
      <c r="Q113" s="838"/>
      <c r="R113" s="838"/>
      <c r="S113" s="838"/>
      <c r="T113" s="838"/>
      <c r="U113" s="838"/>
      <c r="V113" s="838"/>
      <c r="W113" s="839"/>
    </row>
    <row r="114" spans="1:23" ht="30" customHeight="1" thickBot="1" x14ac:dyDescent="0.3">
      <c r="A114" s="271">
        <v>106</v>
      </c>
      <c r="B114" s="1102" t="s">
        <v>3269</v>
      </c>
      <c r="C114" s="1102"/>
      <c r="D114" s="1102"/>
      <c r="E114" s="1102"/>
      <c r="F114" s="1102"/>
      <c r="G114" s="1103"/>
      <c r="H114" s="838" t="str">
        <f t="shared" si="3"/>
        <v>Menu scolaire : curry de pois chiches avec riz complet, légumes rôtis, sauce coco légère, allergène éventuel soja absent, satisfaction à relever par niveau de classe.</v>
      </c>
      <c r="I114" s="838"/>
      <c r="J114" s="838"/>
      <c r="K114" s="838"/>
      <c r="L114" s="838"/>
      <c r="M114" s="838"/>
      <c r="N114" s="838"/>
      <c r="O114" s="838"/>
      <c r="P114" s="838"/>
      <c r="Q114" s="838"/>
      <c r="R114" s="838"/>
      <c r="S114" s="838"/>
      <c r="T114" s="838"/>
      <c r="U114" s="838"/>
      <c r="V114" s="838"/>
      <c r="W114" s="839"/>
    </row>
    <row r="115" spans="1:23" ht="30" customHeight="1" thickBot="1" x14ac:dyDescent="0.3">
      <c r="A115" s="271">
        <v>107</v>
      </c>
      <c r="B115" s="1102" t="s">
        <v>3399</v>
      </c>
      <c r="C115" s="1102"/>
      <c r="D115" s="1102"/>
      <c r="E115" s="1102"/>
      <c r="F115" s="1102"/>
      <c r="G115" s="1103"/>
      <c r="H115" s="838" t="str">
        <f t="shared" si="3"/>
        <v>Menu sportif : associer céréales, légumineuses et légumes avec portion énergétique suffisante, sans négliger sauce et digestibilité.</v>
      </c>
      <c r="I115" s="838"/>
      <c r="J115" s="838"/>
      <c r="K115" s="838"/>
      <c r="L115" s="838"/>
      <c r="M115" s="838"/>
      <c r="N115" s="838"/>
      <c r="O115" s="838"/>
      <c r="P115" s="838"/>
      <c r="Q115" s="838"/>
      <c r="R115" s="838"/>
      <c r="S115" s="838"/>
      <c r="T115" s="838"/>
      <c r="U115" s="838"/>
      <c r="V115" s="838"/>
      <c r="W115" s="839"/>
    </row>
    <row r="116" spans="1:23" ht="30" customHeight="1" thickBot="1" x14ac:dyDescent="0.3">
      <c r="A116" s="271">
        <v>108</v>
      </c>
      <c r="B116" s="1102" t="s">
        <v>3261</v>
      </c>
      <c r="C116" s="1102"/>
      <c r="D116" s="1102"/>
      <c r="E116" s="1102"/>
      <c r="F116" s="1102"/>
      <c r="G116" s="1103"/>
      <c r="H116" s="838" t="str">
        <f t="shared" si="3"/>
        <v>Menu test : quinoa et sarrasin utilisés en complément d’une légumineuse ; coût portion à comparer avec satisfaction convives et gaspillage.</v>
      </c>
      <c r="I116" s="838"/>
      <c r="J116" s="838"/>
      <c r="K116" s="838"/>
      <c r="L116" s="838"/>
      <c r="M116" s="838"/>
      <c r="N116" s="838"/>
      <c r="O116" s="838"/>
      <c r="P116" s="838"/>
      <c r="Q116" s="838"/>
      <c r="R116" s="838"/>
      <c r="S116" s="838"/>
      <c r="T116" s="838"/>
      <c r="U116" s="838"/>
      <c r="V116" s="838"/>
      <c r="W116" s="839"/>
    </row>
    <row r="117" spans="1:23" ht="30" customHeight="1" thickBot="1" x14ac:dyDescent="0.3">
      <c r="A117" s="271">
        <v>109</v>
      </c>
      <c r="B117" s="1102" t="s">
        <v>3379</v>
      </c>
      <c r="C117" s="1102"/>
      <c r="D117" s="1102"/>
      <c r="E117" s="1102"/>
      <c r="F117" s="1102"/>
      <c r="G117" s="1103"/>
      <c r="H117" s="838" t="str">
        <f t="shared" si="3"/>
        <v>Offre hebdomadaire : ne pas placer deux plats secs successifs, alterner mijoté, gratin, salade composée, soupe complète et plat en sauce.</v>
      </c>
      <c r="I117" s="838"/>
      <c r="J117" s="838"/>
      <c r="K117" s="838"/>
      <c r="L117" s="838"/>
      <c r="M117" s="838"/>
      <c r="N117" s="838"/>
      <c r="O117" s="838"/>
      <c r="P117" s="838"/>
      <c r="Q117" s="838"/>
      <c r="R117" s="838"/>
      <c r="S117" s="838"/>
      <c r="T117" s="838"/>
      <c r="U117" s="838"/>
      <c r="V117" s="838"/>
      <c r="W117" s="839"/>
    </row>
    <row r="118" spans="1:23" ht="30" customHeight="1" thickBot="1" x14ac:dyDescent="0.3">
      <c r="A118" s="271">
        <v>110</v>
      </c>
      <c r="B118" s="1102" t="s">
        <v>3251</v>
      </c>
      <c r="C118" s="1102"/>
      <c r="D118" s="1102"/>
      <c r="E118" s="1102"/>
      <c r="F118" s="1102"/>
      <c r="G118" s="1103"/>
      <c r="H118" s="838" t="str">
        <f t="shared" si="3"/>
        <v>Offre légumineuses : lentilles, pois chiches, haricots, fèves et pois cassés diversifiés sur le cycle pour éviter la répétition.</v>
      </c>
      <c r="I118" s="838"/>
      <c r="J118" s="838"/>
      <c r="K118" s="838"/>
      <c r="L118" s="838"/>
      <c r="M118" s="838"/>
      <c r="N118" s="838"/>
      <c r="O118" s="838"/>
      <c r="P118" s="838"/>
      <c r="Q118" s="838"/>
      <c r="R118" s="838"/>
      <c r="S118" s="838"/>
      <c r="T118" s="838"/>
      <c r="U118" s="838"/>
      <c r="V118" s="838"/>
      <c r="W118" s="839"/>
    </row>
    <row r="119" spans="1:23" ht="30" customHeight="1" thickBot="1" x14ac:dyDescent="0.3">
      <c r="A119" s="271">
        <v>111</v>
      </c>
      <c r="B119" s="1102" t="s">
        <v>4360</v>
      </c>
      <c r="C119" s="1102"/>
      <c r="D119" s="1102"/>
      <c r="E119" s="1102"/>
      <c r="F119" s="1102"/>
      <c r="G119" s="1103"/>
      <c r="H119" s="838" t="str">
        <f t="shared" si="3"/>
        <v>On ne doit pas enlever la viande d’un coup. Il vaut mieux proposer petit à petit des plats végétaux et bien expliquer aux élèves ce qu’il y a dedans.;substitution / alternative / végétal</v>
      </c>
      <c r="I119" s="838"/>
      <c r="J119" s="838"/>
      <c r="K119" s="838"/>
      <c r="L119" s="838"/>
      <c r="M119" s="838"/>
      <c r="N119" s="838"/>
      <c r="O119" s="838"/>
      <c r="P119" s="838"/>
      <c r="Q119" s="838"/>
      <c r="R119" s="838"/>
      <c r="S119" s="838"/>
      <c r="T119" s="838"/>
      <c r="U119" s="838"/>
      <c r="V119" s="838"/>
      <c r="W119" s="839"/>
    </row>
    <row r="120" spans="1:23" ht="30" customHeight="1" thickBot="1" x14ac:dyDescent="0.3">
      <c r="A120" s="271">
        <v>112</v>
      </c>
      <c r="B120" s="1102" t="s">
        <v>4369</v>
      </c>
      <c r="C120" s="1102"/>
      <c r="D120" s="1102"/>
      <c r="E120" s="1102"/>
      <c r="F120" s="1102"/>
      <c r="G120" s="1103"/>
      <c r="H120" s="838" t="str">
        <f t="shared" si="3"/>
        <v>On peut faire un plat plus complet avec une légumineuse et une céréale, par exemple pois chiches avec semoule, haricots rouges avec riz ou lentilles avec blé.;légumineuse / nutrition</v>
      </c>
      <c r="I120" s="838"/>
      <c r="J120" s="838"/>
      <c r="K120" s="838"/>
      <c r="L120" s="838"/>
      <c r="M120" s="838"/>
      <c r="N120" s="838"/>
      <c r="O120" s="838"/>
      <c r="P120" s="838"/>
      <c r="Q120" s="838"/>
      <c r="R120" s="838"/>
      <c r="S120" s="838"/>
      <c r="T120" s="838"/>
      <c r="U120" s="838"/>
      <c r="V120" s="838"/>
      <c r="W120" s="839"/>
    </row>
    <row r="121" spans="1:23" ht="30" customHeight="1" thickBot="1" x14ac:dyDescent="0.3">
      <c r="A121" s="271">
        <v>113</v>
      </c>
      <c r="B121" s="1102" t="s">
        <v>4373</v>
      </c>
      <c r="C121" s="1102"/>
      <c r="D121" s="1102"/>
      <c r="E121" s="1102"/>
      <c r="F121" s="1102"/>
      <c r="G121" s="1103"/>
      <c r="H121" s="838" t="str">
        <f t="shared" si="3"/>
        <v>On peut remplacer une partie de la viande par des lentilles dans une sauce, un gratin, un hachis ou une farce, mais il faut que la recette reste logique.;substitution / légumineuse</v>
      </c>
      <c r="I121" s="838"/>
      <c r="J121" s="838"/>
      <c r="K121" s="838"/>
      <c r="L121" s="838"/>
      <c r="M121" s="838"/>
      <c r="N121" s="838"/>
      <c r="O121" s="838"/>
      <c r="P121" s="838"/>
      <c r="Q121" s="838"/>
      <c r="R121" s="838"/>
      <c r="S121" s="838"/>
      <c r="T121" s="838"/>
      <c r="U121" s="838"/>
      <c r="V121" s="838"/>
      <c r="W121" s="839"/>
    </row>
    <row r="122" spans="1:23" ht="30" customHeight="1" thickBot="1" x14ac:dyDescent="0.3">
      <c r="A122" s="271">
        <v>114</v>
      </c>
      <c r="B122" s="1102" t="s">
        <v>3297</v>
      </c>
      <c r="C122" s="1102"/>
      <c r="D122" s="1102"/>
      <c r="E122" s="1102"/>
      <c r="F122" s="1102"/>
      <c r="G122" s="1103"/>
      <c r="H122" s="838" t="str">
        <f t="shared" si="3"/>
        <v>Optimisation achat : comparer lentilles sèches, lentilles appertisées et lentilles surgelées selon rendement, temps de main-d’œuvre et régularité de texture.</v>
      </c>
      <c r="I122" s="838"/>
      <c r="J122" s="838"/>
      <c r="K122" s="838"/>
      <c r="L122" s="838"/>
      <c r="M122" s="838"/>
      <c r="N122" s="838"/>
      <c r="O122" s="838"/>
      <c r="P122" s="838"/>
      <c r="Q122" s="838"/>
      <c r="R122" s="838"/>
      <c r="S122" s="838"/>
      <c r="T122" s="838"/>
      <c r="U122" s="838"/>
      <c r="V122" s="838"/>
      <c r="W122" s="839"/>
    </row>
    <row r="123" spans="1:23" ht="30" customHeight="1" thickBot="1" x14ac:dyDescent="0.3">
      <c r="A123" s="271">
        <v>115</v>
      </c>
      <c r="B123" s="1102" t="s">
        <v>3415</v>
      </c>
      <c r="C123" s="1102"/>
      <c r="D123" s="1102"/>
      <c r="E123" s="1102"/>
      <c r="F123" s="1102"/>
      <c r="G123" s="1103"/>
      <c r="H123" s="838" t="str">
        <f t="shared" si="3"/>
        <v>Plan allergène : séparer ustensiles et zones si recette avec soja ou gluten, éviter contamination croisée et contrôler l’affichage convive.</v>
      </c>
      <c r="I123" s="838"/>
      <c r="J123" s="838"/>
      <c r="K123" s="838"/>
      <c r="L123" s="838"/>
      <c r="M123" s="838"/>
      <c r="N123" s="838"/>
      <c r="O123" s="838"/>
      <c r="P123" s="838"/>
      <c r="Q123" s="838"/>
      <c r="R123" s="838"/>
      <c r="S123" s="838"/>
      <c r="T123" s="838"/>
      <c r="U123" s="838"/>
      <c r="V123" s="838"/>
      <c r="W123" s="839"/>
    </row>
    <row r="124" spans="1:23" ht="30" customHeight="1" thickBot="1" x14ac:dyDescent="0.3">
      <c r="A124" s="271">
        <v>116</v>
      </c>
      <c r="B124" s="1102" t="s">
        <v>3369</v>
      </c>
      <c r="C124" s="1102"/>
      <c r="D124" s="1102"/>
      <c r="E124" s="1102"/>
      <c r="F124" s="1102"/>
      <c r="G124" s="1103"/>
      <c r="H124" s="838" t="str">
        <f t="shared" si="3"/>
        <v>Plan correctif : réduire taille des portions, améliorer sauce, renommer recette, former service et refaire mesure gaspillage après deux semaines.</v>
      </c>
      <c r="I124" s="838"/>
      <c r="J124" s="838"/>
      <c r="K124" s="838"/>
      <c r="L124" s="838"/>
      <c r="M124" s="838"/>
      <c r="N124" s="838"/>
      <c r="O124" s="838"/>
      <c r="P124" s="838"/>
      <c r="Q124" s="838"/>
      <c r="R124" s="838"/>
      <c r="S124" s="838"/>
      <c r="T124" s="838"/>
      <c r="U124" s="838"/>
      <c r="V124" s="838"/>
      <c r="W124" s="839"/>
    </row>
    <row r="125" spans="1:23" ht="30" customHeight="1" thickBot="1" x14ac:dyDescent="0.3">
      <c r="A125" s="271">
        <v>117</v>
      </c>
      <c r="B125" s="1102" t="s">
        <v>3335</v>
      </c>
      <c r="C125" s="1102"/>
      <c r="D125" s="1102"/>
      <c r="E125" s="1102"/>
      <c r="F125" s="1102"/>
      <c r="G125" s="1103"/>
      <c r="H125" s="838" t="str">
        <f t="shared" si="3"/>
        <v>Plan d’action : réduire une recette végétale sèche en augmentant liquide de cuisson, liant, sauce de nappage et contrôle de tenue au chaud.</v>
      </c>
      <c r="I125" s="838"/>
      <c r="J125" s="838"/>
      <c r="K125" s="838"/>
      <c r="L125" s="838"/>
      <c r="M125" s="838"/>
      <c r="N125" s="838"/>
      <c r="O125" s="838"/>
      <c r="P125" s="838"/>
      <c r="Q125" s="838"/>
      <c r="R125" s="838"/>
      <c r="S125" s="838"/>
      <c r="T125" s="838"/>
      <c r="U125" s="838"/>
      <c r="V125" s="838"/>
      <c r="W125" s="839"/>
    </row>
    <row r="126" spans="1:23" ht="30" customHeight="1" thickBot="1" x14ac:dyDescent="0.3">
      <c r="A126" s="271">
        <v>118</v>
      </c>
      <c r="B126" s="1102" t="s">
        <v>3256</v>
      </c>
      <c r="C126" s="1102"/>
      <c r="D126" s="1102"/>
      <c r="E126" s="1102"/>
      <c r="F126" s="1102"/>
      <c r="G126" s="1103"/>
      <c r="H126" s="838" t="str">
        <f t="shared" si="3"/>
        <v>Plan d’amélioration : réduire gaspillage, renforcer assaisonnement, allonger sauce, tester satisfaction convives et mesurer acceptabilité sur deux services.</v>
      </c>
      <c r="I126" s="838"/>
      <c r="J126" s="838"/>
      <c r="K126" s="838"/>
      <c r="L126" s="838"/>
      <c r="M126" s="838"/>
      <c r="N126" s="838"/>
      <c r="O126" s="838"/>
      <c r="P126" s="838"/>
      <c r="Q126" s="838"/>
      <c r="R126" s="838"/>
      <c r="S126" s="838"/>
      <c r="T126" s="838"/>
      <c r="U126" s="838"/>
      <c r="V126" s="838"/>
      <c r="W126" s="839"/>
    </row>
    <row r="127" spans="1:23" ht="30" customHeight="1" thickBot="1" x14ac:dyDescent="0.3">
      <c r="A127" s="271">
        <v>119</v>
      </c>
      <c r="B127" s="1102" t="s">
        <v>3275</v>
      </c>
      <c r="C127" s="1102"/>
      <c r="D127" s="1102"/>
      <c r="E127" s="1102"/>
      <c r="F127" s="1102"/>
      <c r="G127" s="1103"/>
      <c r="H127" s="838" t="str">
        <f t="shared" si="3"/>
        <v>Plan de cycle : intégrer deux recettes de légumineuses par semaine sans répétition de couleur, de sauce ou de garniture pour éviter la lassitude.</v>
      </c>
      <c r="I127" s="838"/>
      <c r="J127" s="838"/>
      <c r="K127" s="838"/>
      <c r="L127" s="838"/>
      <c r="M127" s="838"/>
      <c r="N127" s="838"/>
      <c r="O127" s="838"/>
      <c r="P127" s="838"/>
      <c r="Q127" s="838"/>
      <c r="R127" s="838"/>
      <c r="S127" s="838"/>
      <c r="T127" s="838"/>
      <c r="U127" s="838"/>
      <c r="V127" s="838"/>
      <c r="W127" s="839"/>
    </row>
    <row r="128" spans="1:23" ht="30" customHeight="1" thickBot="1" x14ac:dyDescent="0.3">
      <c r="A128" s="271">
        <v>120</v>
      </c>
      <c r="B128" s="1102" t="s">
        <v>3423</v>
      </c>
      <c r="C128" s="1102"/>
      <c r="D128" s="1102"/>
      <c r="E128" s="1102"/>
      <c r="F128" s="1102"/>
      <c r="G128" s="1103"/>
      <c r="H128" s="838" t="str">
        <f t="shared" si="3"/>
        <v>Plan de montée en charge : passer d’un service test à un cycle complet seulement si coût, satisfaction, gaspillage et allergènes sont stabilisés.</v>
      </c>
      <c r="I128" s="838"/>
      <c r="J128" s="838"/>
      <c r="K128" s="838"/>
      <c r="L128" s="838"/>
      <c r="M128" s="838"/>
      <c r="N128" s="838"/>
      <c r="O128" s="838"/>
      <c r="P128" s="838"/>
      <c r="Q128" s="838"/>
      <c r="R128" s="838"/>
      <c r="S128" s="838"/>
      <c r="T128" s="838"/>
      <c r="U128" s="838"/>
      <c r="V128" s="838"/>
      <c r="W128" s="839"/>
    </row>
    <row r="129" spans="1:23" ht="30" customHeight="1" thickBot="1" x14ac:dyDescent="0.3">
      <c r="A129" s="271">
        <v>121</v>
      </c>
      <c r="B129" s="1102" t="s">
        <v>3445</v>
      </c>
      <c r="C129" s="1102"/>
      <c r="D129" s="1102"/>
      <c r="E129" s="1102"/>
      <c r="F129" s="1102"/>
      <c r="G129" s="1103"/>
      <c r="H129" s="838" t="str">
        <f t="shared" si="3"/>
        <v>Plan de progrès : sélectionner trois recettes végétales fiables avant d’élargir le cycle à des produits plus spécifiques comme tempeh ou lupin.</v>
      </c>
      <c r="I129" s="838"/>
      <c r="J129" s="838"/>
      <c r="K129" s="838"/>
      <c r="L129" s="838"/>
      <c r="M129" s="838"/>
      <c r="N129" s="838"/>
      <c r="O129" s="838"/>
      <c r="P129" s="838"/>
      <c r="Q129" s="838"/>
      <c r="R129" s="838"/>
      <c r="S129" s="838"/>
      <c r="T129" s="838"/>
      <c r="U129" s="838"/>
      <c r="V129" s="838"/>
      <c r="W129" s="839"/>
    </row>
    <row r="130" spans="1:23" ht="30" customHeight="1" thickBot="1" x14ac:dyDescent="0.3">
      <c r="A130" s="271">
        <v>122</v>
      </c>
      <c r="B130" s="1102" t="s">
        <v>3355</v>
      </c>
      <c r="C130" s="1102"/>
      <c r="D130" s="1102"/>
      <c r="E130" s="1102"/>
      <c r="F130" s="1102"/>
      <c r="G130" s="1103"/>
      <c r="H130" s="838" t="str">
        <f t="shared" si="3"/>
        <v>Plan formation : faire comparer deux versions d’un plat végétal, une sèche et une en sauce, pour relier technique culinaire et gaspillage.</v>
      </c>
      <c r="I130" s="838"/>
      <c r="J130" s="838"/>
      <c r="K130" s="838"/>
      <c r="L130" s="838"/>
      <c r="M130" s="838"/>
      <c r="N130" s="838"/>
      <c r="O130" s="838"/>
      <c r="P130" s="838"/>
      <c r="Q130" s="838"/>
      <c r="R130" s="838"/>
      <c r="S130" s="838"/>
      <c r="T130" s="838"/>
      <c r="U130" s="838"/>
      <c r="V130" s="838"/>
      <c r="W130" s="839"/>
    </row>
    <row r="131" spans="1:23" ht="30" customHeight="1" thickBot="1" x14ac:dyDescent="0.3">
      <c r="A131" s="271">
        <v>123</v>
      </c>
      <c r="B131" s="1102" t="s">
        <v>3303</v>
      </c>
      <c r="C131" s="1102"/>
      <c r="D131" s="1102"/>
      <c r="E131" s="1102"/>
      <c r="F131" s="1102"/>
      <c r="G131" s="1103"/>
      <c r="H131" s="838" t="str">
        <f t="shared" si="3"/>
        <v>Plan protéines : alterner légumineuses entières, purées, boulettes, sauces mijotées et gratins pour diversifier textures et modes de consommation.</v>
      </c>
      <c r="I131" s="838"/>
      <c r="J131" s="838"/>
      <c r="K131" s="838"/>
      <c r="L131" s="838"/>
      <c r="M131" s="838"/>
      <c r="N131" s="838"/>
      <c r="O131" s="838"/>
      <c r="P131" s="838"/>
      <c r="Q131" s="838"/>
      <c r="R131" s="838"/>
      <c r="S131" s="838"/>
      <c r="T131" s="838"/>
      <c r="U131" s="838"/>
      <c r="V131" s="838"/>
      <c r="W131" s="839"/>
    </row>
    <row r="132" spans="1:23" ht="30" customHeight="1" thickBot="1" x14ac:dyDescent="0.3">
      <c r="A132" s="271">
        <v>124</v>
      </c>
      <c r="B132" s="1102" t="s">
        <v>3387</v>
      </c>
      <c r="C132" s="1102"/>
      <c r="D132" s="1102"/>
      <c r="E132" s="1102"/>
      <c r="F132" s="1102"/>
      <c r="G132" s="1103"/>
      <c r="H132" s="838" t="str">
        <f t="shared" si="3"/>
        <v>Plat asiatique : nouilles sautées au tofu, légumes, sauce soja, allergènes soja et gluten possibles, vigilance sur sel et acceptabilité.</v>
      </c>
      <c r="I132" s="838"/>
      <c r="J132" s="838"/>
      <c r="K132" s="838"/>
      <c r="L132" s="838"/>
      <c r="M132" s="838"/>
      <c r="N132" s="838"/>
      <c r="O132" s="838"/>
      <c r="P132" s="838"/>
      <c r="Q132" s="838"/>
      <c r="R132" s="838"/>
      <c r="S132" s="838"/>
      <c r="T132" s="838"/>
      <c r="U132" s="838"/>
      <c r="V132" s="838"/>
      <c r="W132" s="839"/>
    </row>
    <row r="133" spans="1:23" ht="30" customHeight="1" thickBot="1" x14ac:dyDescent="0.3">
      <c r="A133" s="271">
        <v>125</v>
      </c>
      <c r="B133" s="1102" t="s">
        <v>3287</v>
      </c>
      <c r="C133" s="1102"/>
      <c r="D133" s="1102"/>
      <c r="E133" s="1102"/>
      <c r="F133" s="1102"/>
      <c r="G133" s="1103"/>
      <c r="H133" s="838" t="str">
        <f t="shared" si="3"/>
        <v>Plat complet : pois chiches, boulgour, carottes, sauce yaourt citronnée, allergènes lait et gluten à déclarer selon la fiche technique.</v>
      </c>
      <c r="I133" s="838"/>
      <c r="J133" s="838"/>
      <c r="K133" s="838"/>
      <c r="L133" s="838"/>
      <c r="M133" s="838"/>
      <c r="N133" s="838"/>
      <c r="O133" s="838"/>
      <c r="P133" s="838"/>
      <c r="Q133" s="838"/>
      <c r="R133" s="838"/>
      <c r="S133" s="838"/>
      <c r="T133" s="838"/>
      <c r="U133" s="838"/>
      <c r="V133" s="838"/>
      <c r="W133" s="839"/>
    </row>
    <row r="134" spans="1:23" ht="30" customHeight="1" thickBot="1" x14ac:dyDescent="0.3">
      <c r="A134" s="271">
        <v>126</v>
      </c>
      <c r="B134" s="1102" t="s">
        <v>3262</v>
      </c>
      <c r="C134" s="1102"/>
      <c r="D134" s="1102"/>
      <c r="E134" s="1102"/>
      <c r="F134" s="1102"/>
      <c r="G134" s="1103"/>
      <c r="H134" s="838" t="str">
        <f t="shared" si="3"/>
        <v>Plat végétal en EHPAD : texture onctueuse, mâche maîtrisée, sauce suffisante, goût lisible, fibres à contrôler et acceptabilité résidents à mesurer.</v>
      </c>
      <c r="I134" s="838"/>
      <c r="J134" s="838"/>
      <c r="K134" s="838"/>
      <c r="L134" s="838"/>
      <c r="M134" s="838"/>
      <c r="N134" s="838"/>
      <c r="O134" s="838"/>
      <c r="P134" s="838"/>
      <c r="Q134" s="838"/>
      <c r="R134" s="838"/>
      <c r="S134" s="838"/>
      <c r="T134" s="838"/>
      <c r="U134" s="838"/>
      <c r="V134" s="838"/>
      <c r="W134" s="839"/>
    </row>
    <row r="135" spans="1:23" ht="30" customHeight="1" thickBot="1" x14ac:dyDescent="0.3">
      <c r="A135" s="271">
        <v>127</v>
      </c>
      <c r="B135" s="1102" t="s">
        <v>3327</v>
      </c>
      <c r="C135" s="1102"/>
      <c r="D135" s="1102"/>
      <c r="E135" s="1102"/>
      <c r="F135" s="1102"/>
      <c r="G135" s="1103"/>
      <c r="H135" s="838" t="str">
        <f t="shared" si="3"/>
        <v>Plat végétal signature : proposer un nom culinaire précis comme curry doux de lentilles plutôt qu’une appellation générique protéine végétale.</v>
      </c>
      <c r="I135" s="838"/>
      <c r="J135" s="838"/>
      <c r="K135" s="838"/>
      <c r="L135" s="838"/>
      <c r="M135" s="838"/>
      <c r="N135" s="838"/>
      <c r="O135" s="838"/>
      <c r="P135" s="838"/>
      <c r="Q135" s="838"/>
      <c r="R135" s="838"/>
      <c r="S135" s="838"/>
      <c r="T135" s="838"/>
      <c r="U135" s="838"/>
      <c r="V135" s="838"/>
      <c r="W135" s="839"/>
    </row>
    <row r="136" spans="1:23" ht="30" customHeight="1" thickBot="1" x14ac:dyDescent="0.3">
      <c r="A136" s="271">
        <v>128</v>
      </c>
      <c r="B136" s="1102" t="s">
        <v>4376</v>
      </c>
      <c r="C136" s="1102"/>
      <c r="D136" s="1102"/>
      <c r="E136" s="1102"/>
      <c r="F136" s="1102"/>
      <c r="G136" s="1103"/>
      <c r="H136" s="838" t="str">
        <f t="shared" si="3"/>
        <v>Pour commencer, il vaut mieux faire des plats connus comme chili, dhal, couscous végétal, curry de pois chiches, bolognaise de lentilles ou galette de haricots.;végétal / lentilles / pois chiches</v>
      </c>
      <c r="I136" s="838"/>
      <c r="J136" s="838"/>
      <c r="K136" s="838"/>
      <c r="L136" s="838"/>
      <c r="M136" s="838"/>
      <c r="N136" s="838"/>
      <c r="O136" s="838"/>
      <c r="P136" s="838"/>
      <c r="Q136" s="838"/>
      <c r="R136" s="838"/>
      <c r="S136" s="838"/>
      <c r="T136" s="838"/>
      <c r="U136" s="838"/>
      <c r="V136" s="838"/>
      <c r="W136" s="839"/>
    </row>
    <row r="137" spans="1:23" ht="30" customHeight="1" thickBot="1" x14ac:dyDescent="0.3">
      <c r="A137" s="271">
        <v>129</v>
      </c>
      <c r="B137" s="1102" t="s">
        <v>3487</v>
      </c>
      <c r="C137" s="1102"/>
      <c r="D137" s="1102"/>
      <c r="E137" s="1102"/>
      <c r="F137" s="1102"/>
      <c r="G137" s="1103"/>
      <c r="H137" s="838" t="str">
        <f t="shared" ref="H137:H156" si="4">B137</f>
        <v>Pour éviter de citer toujours les lentilles, le moteur doit vérifier la diversité des familles : pois chiches, haricots, pois cassés, fèves, soja, tofu, tempeh, lupin et graines.;lentilles / végétal / légumineuse</v>
      </c>
      <c r="I137" s="838"/>
      <c r="J137" s="838"/>
      <c r="K137" s="838"/>
      <c r="L137" s="838"/>
      <c r="M137" s="838"/>
      <c r="N137" s="838"/>
      <c r="O137" s="838"/>
      <c r="P137" s="838"/>
      <c r="Q137" s="838"/>
      <c r="R137" s="838"/>
      <c r="S137" s="838"/>
      <c r="T137" s="838"/>
      <c r="U137" s="838"/>
      <c r="V137" s="838"/>
      <c r="W137" s="839"/>
    </row>
    <row r="138" spans="1:23" ht="30" customHeight="1" thickBot="1" x14ac:dyDescent="0.3">
      <c r="A138" s="271">
        <v>130</v>
      </c>
      <c r="B138" s="1102" t="s">
        <v>3467</v>
      </c>
      <c r="C138" s="1102"/>
      <c r="D138" s="1102"/>
      <c r="E138" s="1102"/>
      <c r="F138" s="1102"/>
      <c r="G138" s="1103"/>
      <c r="H138" s="838" t="str">
        <f t="shared" si="4"/>
        <v>Préparation amont : trempage des haricots planifié, rinçage, cuisson test, refroidissement réglementaire et contrôle de texture avant assemblage.</v>
      </c>
      <c r="I138" s="838"/>
      <c r="J138" s="838"/>
      <c r="K138" s="838"/>
      <c r="L138" s="838"/>
      <c r="M138" s="838"/>
      <c r="N138" s="838"/>
      <c r="O138" s="838"/>
      <c r="P138" s="838"/>
      <c r="Q138" s="838"/>
      <c r="R138" s="838"/>
      <c r="S138" s="838"/>
      <c r="T138" s="838"/>
      <c r="U138" s="838"/>
      <c r="V138" s="838"/>
      <c r="W138" s="839"/>
    </row>
    <row r="139" spans="1:23" ht="30" customHeight="1" thickBot="1" x14ac:dyDescent="0.3">
      <c r="A139" s="271">
        <v>131</v>
      </c>
      <c r="B139" s="1102" t="s">
        <v>3361</v>
      </c>
      <c r="C139" s="1102"/>
      <c r="D139" s="1102"/>
      <c r="E139" s="1102"/>
      <c r="F139" s="1102"/>
      <c r="G139" s="1103"/>
      <c r="H139" s="838" t="str">
        <f t="shared" si="4"/>
        <v>Production grande série : remuer sans casser les légumineuses, éviter surcuisson, maintenir sauce homogène et contrôler le sel en fin de cuisson.</v>
      </c>
      <c r="I139" s="838"/>
      <c r="J139" s="838"/>
      <c r="K139" s="838"/>
      <c r="L139" s="838"/>
      <c r="M139" s="838"/>
      <c r="N139" s="838"/>
      <c r="O139" s="838"/>
      <c r="P139" s="838"/>
      <c r="Q139" s="838"/>
      <c r="R139" s="838"/>
      <c r="S139" s="838"/>
      <c r="T139" s="838"/>
      <c r="U139" s="838"/>
      <c r="V139" s="838"/>
      <c r="W139" s="839"/>
    </row>
    <row r="140" spans="1:23" ht="30" customHeight="1" thickBot="1" x14ac:dyDescent="0.3">
      <c r="A140" s="271">
        <v>132</v>
      </c>
      <c r="B140" s="1102" t="s">
        <v>3313</v>
      </c>
      <c r="C140" s="1102"/>
      <c r="D140" s="1102"/>
      <c r="E140" s="1102"/>
      <c r="F140" s="1102"/>
      <c r="G140" s="1103"/>
      <c r="H140" s="838" t="str">
        <f t="shared" si="4"/>
        <v>Production liaison froide : les haricots blancs deviennent secs au réchauffage, nécessité d’une sauce plus longue et d’un contrôle de remise en température.</v>
      </c>
      <c r="I140" s="838"/>
      <c r="J140" s="838"/>
      <c r="K140" s="838"/>
      <c r="L140" s="838"/>
      <c r="M140" s="838"/>
      <c r="N140" s="838"/>
      <c r="O140" s="838"/>
      <c r="P140" s="838"/>
      <c r="Q140" s="838"/>
      <c r="R140" s="838"/>
      <c r="S140" s="838"/>
      <c r="T140" s="838"/>
      <c r="U140" s="838"/>
      <c r="V140" s="838"/>
      <c r="W140" s="839"/>
    </row>
    <row r="141" spans="1:23" ht="30" customHeight="1" thickBot="1" x14ac:dyDescent="0.3">
      <c r="A141" s="271">
        <v>133</v>
      </c>
      <c r="B141" s="1102" t="s">
        <v>3447</v>
      </c>
      <c r="C141" s="1102"/>
      <c r="D141" s="1102"/>
      <c r="E141" s="1102"/>
      <c r="F141" s="1102"/>
      <c r="G141" s="1103"/>
      <c r="H141" s="838" t="str">
        <f t="shared" si="4"/>
        <v>Production pâté végétal : lentilles et noix possibles, allergènes fruits à coque à déclarer, texture tartinable et portion d’entrée à cadrer.</v>
      </c>
      <c r="I141" s="838"/>
      <c r="J141" s="838"/>
      <c r="K141" s="838"/>
      <c r="L141" s="838"/>
      <c r="M141" s="838"/>
      <c r="N141" s="838"/>
      <c r="O141" s="838"/>
      <c r="P141" s="838"/>
      <c r="Q141" s="838"/>
      <c r="R141" s="838"/>
      <c r="S141" s="838"/>
      <c r="T141" s="838"/>
      <c r="U141" s="838"/>
      <c r="V141" s="838"/>
      <c r="W141" s="839"/>
    </row>
    <row r="142" spans="1:23" ht="30" customHeight="1" thickBot="1" x14ac:dyDescent="0.3">
      <c r="A142" s="271">
        <v>134</v>
      </c>
      <c r="B142" s="1102" t="s">
        <v>3455</v>
      </c>
      <c r="C142" s="1102"/>
      <c r="D142" s="1102"/>
      <c r="E142" s="1102"/>
      <c r="F142" s="1102"/>
      <c r="G142" s="1103"/>
      <c r="H142" s="838" t="str">
        <f t="shared" si="4"/>
        <v>Qualité gustative : umami, acidité, gras, herbes, épices et sauce doivent compenser la neutralité de certaines protéines végétales.</v>
      </c>
      <c r="I142" s="838"/>
      <c r="J142" s="838"/>
      <c r="K142" s="838"/>
      <c r="L142" s="838"/>
      <c r="M142" s="838"/>
      <c r="N142" s="838"/>
      <c r="O142" s="838"/>
      <c r="P142" s="838"/>
      <c r="Q142" s="838"/>
      <c r="R142" s="838"/>
      <c r="S142" s="838"/>
      <c r="T142" s="838"/>
      <c r="U142" s="838"/>
      <c r="V142" s="838"/>
      <c r="W142" s="839"/>
    </row>
    <row r="143" spans="1:23" ht="30" customHeight="1" thickBot="1" x14ac:dyDescent="0.3">
      <c r="A143" s="271">
        <v>135</v>
      </c>
      <c r="B143" s="1102" t="s">
        <v>3459</v>
      </c>
      <c r="C143" s="1102"/>
      <c r="D143" s="1102"/>
      <c r="E143" s="1102"/>
      <c r="F143" s="1102"/>
      <c r="G143" s="1103"/>
      <c r="H143" s="838" t="str">
        <f t="shared" si="4"/>
        <v>Recette collective : gratin de haricots blancs et légumes, sauce tomate liée, chapelure possible, allergène gluten selon finition.</v>
      </c>
      <c r="I143" s="838"/>
      <c r="J143" s="838"/>
      <c r="K143" s="838"/>
      <c r="L143" s="838"/>
      <c r="M143" s="838"/>
      <c r="N143" s="838"/>
      <c r="O143" s="838"/>
      <c r="P143" s="838"/>
      <c r="Q143" s="838"/>
      <c r="R143" s="838"/>
      <c r="S143" s="838"/>
      <c r="T143" s="838"/>
      <c r="U143" s="838"/>
      <c r="V143" s="838"/>
      <c r="W143" s="839"/>
    </row>
    <row r="144" spans="1:23" ht="30" customHeight="1" thickBot="1" x14ac:dyDescent="0.3">
      <c r="A144" s="271">
        <v>136</v>
      </c>
      <c r="B144" s="1102" t="s">
        <v>3417</v>
      </c>
      <c r="C144" s="1102"/>
      <c r="D144" s="1102"/>
      <c r="E144" s="1102"/>
      <c r="F144" s="1102"/>
      <c r="G144" s="1103"/>
      <c r="H144" s="838" t="str">
        <f t="shared" si="4"/>
        <v>Recette économique : soupe épaisse de haricots rouges et légumes, coût bas, satiété correcte, mais présentation et garniture à améliorer.</v>
      </c>
      <c r="I144" s="838"/>
      <c r="J144" s="838"/>
      <c r="K144" s="838"/>
      <c r="L144" s="838"/>
      <c r="M144" s="838"/>
      <c r="N144" s="838"/>
      <c r="O144" s="838"/>
      <c r="P144" s="838"/>
      <c r="Q144" s="838"/>
      <c r="R144" s="838"/>
      <c r="S144" s="838"/>
      <c r="T144" s="838"/>
      <c r="U144" s="838"/>
      <c r="V144" s="838"/>
      <c r="W144" s="839"/>
    </row>
    <row r="145" spans="1:23" ht="30" customHeight="1" thickBot="1" x14ac:dyDescent="0.3">
      <c r="A145" s="271">
        <v>137</v>
      </c>
      <c r="B145" s="1102" t="s">
        <v>3255</v>
      </c>
      <c r="C145" s="1102"/>
      <c r="D145" s="1102"/>
      <c r="E145" s="1102"/>
      <c r="F145" s="1102"/>
      <c r="G145" s="1103"/>
      <c r="H145" s="838" t="str">
        <f t="shared" si="4"/>
        <v>Recette haricots rouges : plat complet avec céréale, légumes, sauce, fibres, fer, équilibre du repas et coût portion compatible restauration collective.</v>
      </c>
      <c r="I145" s="838"/>
      <c r="J145" s="838"/>
      <c r="K145" s="838"/>
      <c r="L145" s="838"/>
      <c r="M145" s="838"/>
      <c r="N145" s="838"/>
      <c r="O145" s="838"/>
      <c r="P145" s="838"/>
      <c r="Q145" s="838"/>
      <c r="R145" s="838"/>
      <c r="S145" s="838"/>
      <c r="T145" s="838"/>
      <c r="U145" s="838"/>
      <c r="V145" s="838"/>
      <c r="W145" s="839"/>
    </row>
    <row r="146" spans="1:23" ht="30" customHeight="1" thickBot="1" x14ac:dyDescent="0.3">
      <c r="A146" s="271">
        <v>138</v>
      </c>
      <c r="B146" s="1102" t="s">
        <v>3403</v>
      </c>
      <c r="C146" s="1102"/>
      <c r="D146" s="1102"/>
      <c r="E146" s="1102"/>
      <c r="F146" s="1102"/>
      <c r="G146" s="1103"/>
      <c r="H146" s="838" t="str">
        <f t="shared" si="4"/>
        <v>Recette méditerranéenne : boulettes de pois chiches au four, sauce tomate, semoule ou boulgour, vigilance sécheresse et allergène gluten.</v>
      </c>
      <c r="I146" s="838"/>
      <c r="J146" s="838"/>
      <c r="K146" s="838"/>
      <c r="L146" s="838"/>
      <c r="M146" s="838"/>
      <c r="N146" s="838"/>
      <c r="O146" s="838"/>
      <c r="P146" s="838"/>
      <c r="Q146" s="838"/>
      <c r="R146" s="838"/>
      <c r="S146" s="838"/>
      <c r="T146" s="838"/>
      <c r="U146" s="838"/>
      <c r="V146" s="838"/>
      <c r="W146" s="839"/>
    </row>
    <row r="147" spans="1:23" ht="30" customHeight="1" thickBot="1" x14ac:dyDescent="0.3">
      <c r="A147" s="271">
        <v>139</v>
      </c>
      <c r="B147" s="1102" t="s">
        <v>3345</v>
      </c>
      <c r="C147" s="1102"/>
      <c r="D147" s="1102"/>
      <c r="E147" s="1102"/>
      <c r="F147" s="1102"/>
      <c r="G147" s="1103"/>
      <c r="H147" s="838" t="str">
        <f t="shared" si="4"/>
        <v>Recette mixée : purée de lentilles corail et légumes, texture lisse, assaisonnement doux, protéine identifiable et contrôle de la fluidité.</v>
      </c>
      <c r="I147" s="838"/>
      <c r="J147" s="838"/>
      <c r="K147" s="838"/>
      <c r="L147" s="838"/>
      <c r="M147" s="838"/>
      <c r="N147" s="838"/>
      <c r="O147" s="838"/>
      <c r="P147" s="838"/>
      <c r="Q147" s="838"/>
      <c r="R147" s="838"/>
      <c r="S147" s="838"/>
      <c r="T147" s="838"/>
      <c r="U147" s="838"/>
      <c r="V147" s="838"/>
      <c r="W147" s="839"/>
    </row>
    <row r="148" spans="1:23" ht="30" customHeight="1" thickBot="1" x14ac:dyDescent="0.3">
      <c r="A148" s="271">
        <v>140</v>
      </c>
      <c r="B148" s="1102" t="s">
        <v>3439</v>
      </c>
      <c r="C148" s="1102"/>
      <c r="D148" s="1102"/>
      <c r="E148" s="1102"/>
      <c r="F148" s="1102"/>
      <c r="G148" s="1103"/>
      <c r="H148" s="838" t="str">
        <f t="shared" si="4"/>
        <v>Recette orientale : pois chiches mijotés aux légumes, sauce cumin tomate, semoule, herbes fraîches et contrôle de tenue au chaud.</v>
      </c>
      <c r="I148" s="838"/>
      <c r="J148" s="838"/>
      <c r="K148" s="838"/>
      <c r="L148" s="838"/>
      <c r="M148" s="838"/>
      <c r="N148" s="838"/>
      <c r="O148" s="838"/>
      <c r="P148" s="838"/>
      <c r="Q148" s="838"/>
      <c r="R148" s="838"/>
      <c r="S148" s="838"/>
      <c r="T148" s="838"/>
      <c r="U148" s="838"/>
      <c r="V148" s="838"/>
      <c r="W148" s="839"/>
    </row>
    <row r="149" spans="1:23" ht="30" customHeight="1" thickBot="1" x14ac:dyDescent="0.3">
      <c r="A149" s="271">
        <v>141</v>
      </c>
      <c r="B149" s="1102" t="s">
        <v>3427</v>
      </c>
      <c r="C149" s="1102"/>
      <c r="D149" s="1102"/>
      <c r="E149" s="1102"/>
      <c r="F149" s="1102"/>
      <c r="G149" s="1103"/>
      <c r="H149" s="838" t="str">
        <f t="shared" si="4"/>
        <v>Recette petit budget : lentilles corail tomate et riz, très bon coût portion, mais besoin d’épices, acidité et matière grasse mesurée.</v>
      </c>
      <c r="I149" s="838"/>
      <c r="J149" s="838"/>
      <c r="K149" s="838"/>
      <c r="L149" s="838"/>
      <c r="M149" s="838"/>
      <c r="N149" s="838"/>
      <c r="O149" s="838"/>
      <c r="P149" s="838"/>
      <c r="Q149" s="838"/>
      <c r="R149" s="838"/>
      <c r="S149" s="838"/>
      <c r="T149" s="838"/>
      <c r="U149" s="838"/>
      <c r="V149" s="838"/>
      <c r="W149" s="839"/>
    </row>
    <row r="150" spans="1:23" ht="30" customHeight="1" thickBot="1" x14ac:dyDescent="0.3">
      <c r="A150" s="271">
        <v>142</v>
      </c>
      <c r="B150" s="1102" t="s">
        <v>3391</v>
      </c>
      <c r="C150" s="1102"/>
      <c r="D150" s="1102"/>
      <c r="E150" s="1102"/>
      <c r="F150" s="1102"/>
      <c r="G150" s="1103"/>
      <c r="H150" s="838" t="str">
        <f t="shared" si="4"/>
        <v>Recette potage : soupe complète lentilles corail et légumes, apport protéique intéressant, texture facile, mais contrôle du sel et de la dilution nécessaire.</v>
      </c>
      <c r="I150" s="838"/>
      <c r="J150" s="838"/>
      <c r="K150" s="838"/>
      <c r="L150" s="838"/>
      <c r="M150" s="838"/>
      <c r="N150" s="838"/>
      <c r="O150" s="838"/>
      <c r="P150" s="838"/>
      <c r="Q150" s="838"/>
      <c r="R150" s="838"/>
      <c r="S150" s="838"/>
      <c r="T150" s="838"/>
      <c r="U150" s="838"/>
      <c r="V150" s="838"/>
      <c r="W150" s="839"/>
    </row>
    <row r="151" spans="1:23" ht="30" customHeight="1" thickBot="1" x14ac:dyDescent="0.3">
      <c r="A151" s="271">
        <v>143</v>
      </c>
      <c r="B151" s="1102" t="s">
        <v>3311</v>
      </c>
      <c r="C151" s="1102"/>
      <c r="D151" s="1102"/>
      <c r="E151" s="1102"/>
      <c r="F151" s="1102"/>
      <c r="G151" s="1103"/>
      <c r="H151" s="838" t="str">
        <f t="shared" si="4"/>
        <v>Recette seitan : texture ferme appréciée par certains convives, rejet possible par d’autres, gluten à signaler et cuisson en sauce recommandée.</v>
      </c>
      <c r="I151" s="838"/>
      <c r="J151" s="838"/>
      <c r="K151" s="838"/>
      <c r="L151" s="838"/>
      <c r="M151" s="838"/>
      <c r="N151" s="838"/>
      <c r="O151" s="838"/>
      <c r="P151" s="838"/>
      <c r="Q151" s="838"/>
      <c r="R151" s="838"/>
      <c r="S151" s="838"/>
      <c r="T151" s="838"/>
      <c r="U151" s="838"/>
      <c r="V151" s="838"/>
      <c r="W151" s="839"/>
    </row>
    <row r="152" spans="1:23" ht="30" customHeight="1" thickBot="1" x14ac:dyDescent="0.3">
      <c r="A152" s="271">
        <v>144</v>
      </c>
      <c r="B152" s="1102" t="s">
        <v>3351</v>
      </c>
      <c r="C152" s="1102"/>
      <c r="D152" s="1102"/>
      <c r="E152" s="1102"/>
      <c r="F152" s="1102"/>
      <c r="G152" s="1103"/>
      <c r="H152" s="838" t="str">
        <f t="shared" si="4"/>
        <v>Réduction viande : remplacer un tiers de la viande par lentilles dans une sauce bolognaise tout en conservant repères de goût et texture.</v>
      </c>
      <c r="I152" s="838"/>
      <c r="J152" s="838"/>
      <c r="K152" s="838"/>
      <c r="L152" s="838"/>
      <c r="M152" s="838"/>
      <c r="N152" s="838"/>
      <c r="O152" s="838"/>
      <c r="P152" s="838"/>
      <c r="Q152" s="838"/>
      <c r="R152" s="838"/>
      <c r="S152" s="838"/>
      <c r="T152" s="838"/>
      <c r="U152" s="838"/>
      <c r="V152" s="838"/>
      <c r="W152" s="839"/>
    </row>
    <row r="153" spans="1:23" ht="30" customHeight="1" thickBot="1" x14ac:dyDescent="0.3">
      <c r="A153" s="271">
        <v>145</v>
      </c>
      <c r="B153" s="1102" t="s">
        <v>3409</v>
      </c>
      <c r="C153" s="1102"/>
      <c r="D153" s="1102"/>
      <c r="E153" s="1102"/>
      <c r="F153" s="1102"/>
      <c r="G153" s="1103"/>
      <c r="H153" s="838" t="str">
        <f t="shared" si="4"/>
        <v>Restauration entreprise : proposer bowl lentilles, légumes, céréale, sauce et topping, avec affichage clair des allergènes et choix attractif.</v>
      </c>
      <c r="I153" s="838"/>
      <c r="J153" s="838"/>
      <c r="K153" s="838"/>
      <c r="L153" s="838"/>
      <c r="M153" s="838"/>
      <c r="N153" s="838"/>
      <c r="O153" s="838"/>
      <c r="P153" s="838"/>
      <c r="Q153" s="838"/>
      <c r="R153" s="838"/>
      <c r="S153" s="838"/>
      <c r="T153" s="838"/>
      <c r="U153" s="838"/>
      <c r="V153" s="838"/>
      <c r="W153" s="839"/>
    </row>
    <row r="154" spans="1:23" ht="30" customHeight="1" thickBot="1" x14ac:dyDescent="0.3">
      <c r="A154" s="271">
        <v>146</v>
      </c>
      <c r="B154" s="1102" t="s">
        <v>3325</v>
      </c>
      <c r="C154" s="1102"/>
      <c r="D154" s="1102"/>
      <c r="E154" s="1102"/>
      <c r="F154" s="1102"/>
      <c r="G154" s="1103"/>
      <c r="H154" s="838" t="str">
        <f t="shared" si="4"/>
        <v>Restauration scolaire : éviter d’introduire tofu, tempeh et seitan la même semaine pour ne pas saturer les convives avec des produits inconnus.</v>
      </c>
      <c r="I154" s="838"/>
      <c r="J154" s="838"/>
      <c r="K154" s="838"/>
      <c r="L154" s="838"/>
      <c r="M154" s="838"/>
      <c r="N154" s="838"/>
      <c r="O154" s="838"/>
      <c r="P154" s="838"/>
      <c r="Q154" s="838"/>
      <c r="R154" s="838"/>
      <c r="S154" s="838"/>
      <c r="T154" s="838"/>
      <c r="U154" s="838"/>
      <c r="V154" s="838"/>
      <c r="W154" s="839"/>
    </row>
    <row r="155" spans="1:23" ht="30" customHeight="1" thickBot="1" x14ac:dyDescent="0.3">
      <c r="A155" s="271">
        <v>147</v>
      </c>
      <c r="B155" s="1102" t="s">
        <v>3343</v>
      </c>
      <c r="C155" s="1102"/>
      <c r="D155" s="1102"/>
      <c r="E155" s="1102"/>
      <c r="F155" s="1102"/>
      <c r="G155" s="1103"/>
      <c r="H155" s="838" t="str">
        <f t="shared" si="4"/>
        <v>Retour convives : satisfaction basse malgré bon équilibre, cause probable liée au manque de croustillant, au nom peu clair et à une sauce trop liquide.</v>
      </c>
      <c r="I155" s="838"/>
      <c r="J155" s="838"/>
      <c r="K155" s="838"/>
      <c r="L155" s="838"/>
      <c r="M155" s="838"/>
      <c r="N155" s="838"/>
      <c r="O155" s="838"/>
      <c r="P155" s="838"/>
      <c r="Q155" s="838"/>
      <c r="R155" s="838"/>
      <c r="S155" s="838"/>
      <c r="T155" s="838"/>
      <c r="U155" s="838"/>
      <c r="V155" s="838"/>
      <c r="W155" s="839"/>
    </row>
    <row r="156" spans="1:23" ht="30" customHeight="1" thickBot="1" x14ac:dyDescent="0.3">
      <c r="A156" s="271">
        <v>148</v>
      </c>
      <c r="B156" s="1102" t="s">
        <v>3397</v>
      </c>
      <c r="C156" s="1102"/>
      <c r="D156" s="1102"/>
      <c r="E156" s="1102"/>
      <c r="F156" s="1102"/>
      <c r="G156" s="1103"/>
      <c r="H156" s="838" t="str">
        <f t="shared" si="4"/>
        <v>Retour cuisine : les lentilles accrochent en cuisson longue, besoin d’un fond plus liquide, brassage régulier et refroidissement rapide.</v>
      </c>
      <c r="I156" s="838"/>
      <c r="J156" s="838"/>
      <c r="K156" s="838"/>
      <c r="L156" s="838"/>
      <c r="M156" s="838"/>
      <c r="N156" s="838"/>
      <c r="O156" s="838"/>
      <c r="P156" s="838"/>
      <c r="Q156" s="838"/>
      <c r="R156" s="838"/>
      <c r="S156" s="838"/>
      <c r="T156" s="838"/>
      <c r="U156" s="838"/>
      <c r="V156" s="838"/>
      <c r="W156" s="839"/>
    </row>
    <row r="157" spans="1:23" ht="30" customHeight="1" thickBot="1" x14ac:dyDescent="0.3">
      <c r="A157" s="271">
        <v>149</v>
      </c>
      <c r="B157" s="1102" t="s">
        <v>3253</v>
      </c>
      <c r="C157" s="1102"/>
      <c r="D157" s="1102"/>
      <c r="E157" s="1102"/>
      <c r="F157" s="1102"/>
      <c r="G157" s="1103"/>
      <c r="H157" s="838" t="str">
        <f t="shared" ref="H157:H182" si="5">B157</f>
        <v>Retour production : alternative végétale acceptée au déjeuner mais refusée le soir ; sauce insuffisante, texture sèche et gaspillage plus élevé au dîner.</v>
      </c>
      <c r="I157" s="838"/>
      <c r="J157" s="838"/>
      <c r="K157" s="838"/>
      <c r="L157" s="838"/>
      <c r="M157" s="838"/>
      <c r="N157" s="838"/>
      <c r="O157" s="838"/>
      <c r="P157" s="838"/>
      <c r="Q157" s="838"/>
      <c r="R157" s="838"/>
      <c r="S157" s="838"/>
      <c r="T157" s="838"/>
      <c r="U157" s="838"/>
      <c r="V157" s="838"/>
      <c r="W157" s="839"/>
    </row>
    <row r="158" spans="1:23" ht="30" customHeight="1" thickBot="1" x14ac:dyDescent="0.3">
      <c r="A158" s="271">
        <v>150</v>
      </c>
      <c r="B158" s="1102" t="s">
        <v>3266</v>
      </c>
      <c r="C158" s="1102"/>
      <c r="D158" s="1102"/>
      <c r="E158" s="1102"/>
      <c r="F158" s="1102"/>
      <c r="G158" s="1103"/>
      <c r="H158" s="838" t="str">
        <f t="shared" si="5"/>
        <v>Retour self : dhal de pois cassés jugé farineux, manque d’assaisonnement, tenue au chaud de 45 minutes, sauce trop courte, gaspillage important.</v>
      </c>
      <c r="I158" s="838"/>
      <c r="J158" s="838"/>
      <c r="K158" s="838"/>
      <c r="L158" s="838"/>
      <c r="M158" s="838"/>
      <c r="N158" s="838"/>
      <c r="O158" s="838"/>
      <c r="P158" s="838"/>
      <c r="Q158" s="838"/>
      <c r="R158" s="838"/>
      <c r="S158" s="838"/>
      <c r="T158" s="838"/>
      <c r="U158" s="838"/>
      <c r="V158" s="838"/>
      <c r="W158" s="839"/>
    </row>
    <row r="159" spans="1:23" ht="30" customHeight="1" thickBot="1" x14ac:dyDescent="0.3">
      <c r="A159" s="271">
        <v>151</v>
      </c>
      <c r="B159" s="1102" t="s">
        <v>3273</v>
      </c>
      <c r="C159" s="1102"/>
      <c r="D159" s="1102"/>
      <c r="E159" s="1102"/>
      <c r="F159" s="1102"/>
      <c r="G159" s="1103"/>
      <c r="H159" s="838" t="str">
        <f t="shared" si="5"/>
        <v>Réunion diététique : vérifier l’apport protéique d’un plat pois cassés et blé, limiter l’excès de fibres et prévoir une portion adaptée aux personnes âgées.</v>
      </c>
      <c r="I159" s="838"/>
      <c r="J159" s="838"/>
      <c r="K159" s="838"/>
      <c r="L159" s="838"/>
      <c r="M159" s="838"/>
      <c r="N159" s="838"/>
      <c r="O159" s="838"/>
      <c r="P159" s="838"/>
      <c r="Q159" s="838"/>
      <c r="R159" s="838"/>
      <c r="S159" s="838"/>
      <c r="T159" s="838"/>
      <c r="U159" s="838"/>
      <c r="V159" s="838"/>
      <c r="W159" s="839"/>
    </row>
    <row r="160" spans="1:23" ht="30" customHeight="1" thickBot="1" x14ac:dyDescent="0.3">
      <c r="A160" s="271">
        <v>152</v>
      </c>
      <c r="B160" s="1102" t="s">
        <v>3277</v>
      </c>
      <c r="C160" s="1102"/>
      <c r="D160" s="1102"/>
      <c r="E160" s="1102"/>
      <c r="F160" s="1102"/>
      <c r="G160" s="1103"/>
      <c r="H160" s="838" t="str">
        <f t="shared" si="5"/>
        <v>Service du soir : tajine végétal aux pois chiches, sauce réduite trop vite, légumes bien perçus, satisfaction correcte mais gaspillage élevé sur les portions trop grandes.</v>
      </c>
      <c r="I160" s="838"/>
      <c r="J160" s="838"/>
      <c r="K160" s="838"/>
      <c r="L160" s="838"/>
      <c r="M160" s="838"/>
      <c r="N160" s="838"/>
      <c r="O160" s="838"/>
      <c r="P160" s="838"/>
      <c r="Q160" s="838"/>
      <c r="R160" s="838"/>
      <c r="S160" s="838"/>
      <c r="T160" s="838"/>
      <c r="U160" s="838"/>
      <c r="V160" s="838"/>
      <c r="W160" s="839"/>
    </row>
    <row r="161" spans="1:23" ht="30" customHeight="1" thickBot="1" x14ac:dyDescent="0.3">
      <c r="A161" s="271">
        <v>153</v>
      </c>
      <c r="B161" s="1102" t="s">
        <v>3463</v>
      </c>
      <c r="C161" s="1102"/>
      <c r="D161" s="1102"/>
      <c r="E161" s="1102"/>
      <c r="F161" s="1102"/>
      <c r="G161" s="1103"/>
      <c r="H161" s="838" t="str">
        <f t="shared" si="5"/>
        <v>Service éducatif : afficher un message court sur les ingrédients et non un discours moral pour favoriser curiosité et choix volontaire.</v>
      </c>
      <c r="I161" s="838"/>
      <c r="J161" s="838"/>
      <c r="K161" s="838"/>
      <c r="L161" s="838"/>
      <c r="M161" s="838"/>
      <c r="N161" s="838"/>
      <c r="O161" s="838"/>
      <c r="P161" s="838"/>
      <c r="Q161" s="838"/>
      <c r="R161" s="838"/>
      <c r="S161" s="838"/>
      <c r="T161" s="838"/>
      <c r="U161" s="838"/>
      <c r="V161" s="838"/>
      <c r="W161" s="839"/>
    </row>
    <row r="162" spans="1:23" ht="30" customHeight="1" thickBot="1" x14ac:dyDescent="0.3">
      <c r="A162" s="271">
        <v>154</v>
      </c>
      <c r="B162" s="1102" t="s">
        <v>4379</v>
      </c>
      <c r="C162" s="1102"/>
      <c r="D162" s="1102"/>
      <c r="E162" s="1102"/>
      <c r="F162" s="1102"/>
      <c r="G162" s="1103"/>
      <c r="H162" s="838" t="str">
        <f t="shared" si="5"/>
        <v>Si on explique mal le remplacement de la viande, les élèves peuvent rejeter le plat. Il vaut mieux parler de goût, de recette complète, de saison et de coût maîtrisé.;substitution / coût / nutrition</v>
      </c>
      <c r="I162" s="838"/>
      <c r="J162" s="838"/>
      <c r="K162" s="838"/>
      <c r="L162" s="838"/>
      <c r="M162" s="838"/>
      <c r="N162" s="838"/>
      <c r="O162" s="838"/>
      <c r="P162" s="838"/>
      <c r="Q162" s="838"/>
      <c r="R162" s="838"/>
      <c r="S162" s="838"/>
      <c r="T162" s="838"/>
      <c r="U162" s="838"/>
      <c r="V162" s="838"/>
      <c r="W162" s="839"/>
    </row>
    <row r="163" spans="1:23" ht="30" customHeight="1" thickBot="1" x14ac:dyDescent="0.3">
      <c r="A163" s="271">
        <v>155</v>
      </c>
      <c r="B163" s="1102" t="s">
        <v>4383</v>
      </c>
      <c r="C163" s="1102"/>
      <c r="D163" s="1102"/>
      <c r="E163" s="1102"/>
      <c r="F163" s="1102"/>
      <c r="G163" s="1103"/>
      <c r="H163" s="838" t="str">
        <f t="shared" si="5"/>
        <v>Si on présente le menu végétarien comme une obligation, les élèves vont moins avoir envie. Il vaut mieux expliquer que c’est une autre recette, avec d’autres protéines et pas forcément moins bonne.;végétarien / communication / protéines / acceptabilité</v>
      </c>
      <c r="I163" s="838"/>
      <c r="J163" s="838"/>
      <c r="K163" s="838"/>
      <c r="L163" s="838"/>
      <c r="M163" s="838"/>
      <c r="N163" s="838"/>
      <c r="O163" s="838"/>
      <c r="P163" s="838"/>
      <c r="Q163" s="838"/>
      <c r="R163" s="838"/>
      <c r="S163" s="838"/>
      <c r="T163" s="838"/>
      <c r="U163" s="838"/>
      <c r="V163" s="838"/>
      <c r="W163" s="839"/>
    </row>
    <row r="164" spans="1:23" ht="30" customHeight="1" thickBot="1" x14ac:dyDescent="0.3">
      <c r="A164" s="271">
        <v>156</v>
      </c>
      <c r="B164" s="1102" t="s">
        <v>3229</v>
      </c>
      <c r="C164" s="1102"/>
      <c r="D164" s="1102"/>
      <c r="E164" s="1102"/>
      <c r="F164" s="1102"/>
      <c r="G164" s="1103"/>
      <c r="H164" s="838" t="str">
        <f t="shared" si="5"/>
        <v>Situation test : chili végétal aux haricots rouges servi le midi ; coût portion stable, satisfaction convives faible, gaspillage élevé, texture sèche et sauce insuffisante.</v>
      </c>
      <c r="I164" s="838"/>
      <c r="J164" s="838"/>
      <c r="K164" s="838"/>
      <c r="L164" s="838"/>
      <c r="M164" s="838"/>
      <c r="N164" s="838"/>
      <c r="O164" s="838"/>
      <c r="P164" s="838"/>
      <c r="Q164" s="838"/>
      <c r="R164" s="838"/>
      <c r="S164" s="838"/>
      <c r="T164" s="838"/>
      <c r="U164" s="838"/>
      <c r="V164" s="838"/>
      <c r="W164" s="839"/>
    </row>
    <row r="165" spans="1:23" ht="30" customHeight="1" thickBot="1" x14ac:dyDescent="0.3">
      <c r="A165" s="271">
        <v>157</v>
      </c>
      <c r="B165" s="1102" t="s">
        <v>3457</v>
      </c>
      <c r="C165" s="1102"/>
      <c r="D165" s="1102"/>
      <c r="E165" s="1102"/>
      <c r="F165" s="1102"/>
      <c r="G165" s="1103"/>
      <c r="H165" s="838" t="str">
        <f t="shared" si="5"/>
        <v>Suivi EHPAD : noter prise alimentaire réelle, refus, fatigue masticatoire, texture, sauce et tolérance digestive après plat végétal.</v>
      </c>
      <c r="I165" s="838"/>
      <c r="J165" s="838"/>
      <c r="K165" s="838"/>
      <c r="L165" s="838"/>
      <c r="M165" s="838"/>
      <c r="N165" s="838"/>
      <c r="O165" s="838"/>
      <c r="P165" s="838"/>
      <c r="Q165" s="838"/>
      <c r="R165" s="838"/>
      <c r="S165" s="838"/>
      <c r="T165" s="838"/>
      <c r="U165" s="838"/>
      <c r="V165" s="838"/>
      <c r="W165" s="839"/>
    </row>
    <row r="166" spans="1:23" ht="30" customHeight="1" thickBot="1" x14ac:dyDescent="0.3">
      <c r="A166" s="271">
        <v>158</v>
      </c>
      <c r="B166" s="1102" t="s">
        <v>3309</v>
      </c>
      <c r="C166" s="1102"/>
      <c r="D166" s="1102"/>
      <c r="E166" s="1102"/>
      <c r="F166" s="1102"/>
      <c r="G166" s="1103"/>
      <c r="H166" s="838" t="str">
        <f t="shared" si="5"/>
        <v>Suivi gaspillage : mesurer retours plateau par recette végétale, par jour de service, par garniture et par tranche d’âge pour isoler les causes.</v>
      </c>
      <c r="I166" s="838"/>
      <c r="J166" s="838"/>
      <c r="K166" s="838"/>
      <c r="L166" s="838"/>
      <c r="M166" s="838"/>
      <c r="N166" s="838"/>
      <c r="O166" s="838"/>
      <c r="P166" s="838"/>
      <c r="Q166" s="838"/>
      <c r="R166" s="838"/>
      <c r="S166" s="838"/>
      <c r="T166" s="838"/>
      <c r="U166" s="838"/>
      <c r="V166" s="838"/>
      <c r="W166" s="839"/>
    </row>
    <row r="167" spans="1:23" ht="30" customHeight="1" thickBot="1" x14ac:dyDescent="0.3">
      <c r="A167" s="271">
        <v>159</v>
      </c>
      <c r="B167" s="1102" t="s">
        <v>3407</v>
      </c>
      <c r="C167" s="1102"/>
      <c r="D167" s="1102"/>
      <c r="E167" s="1102"/>
      <c r="F167" s="1102"/>
      <c r="G167" s="1103"/>
      <c r="H167" s="838" t="str">
        <f t="shared" si="5"/>
        <v>Suivi mensuel : classer recettes végétales selon satisfaction, gaspillage, coût réel, facilité de production et conformité allergène.</v>
      </c>
      <c r="I167" s="838"/>
      <c r="J167" s="838"/>
      <c r="K167" s="838"/>
      <c r="L167" s="838"/>
      <c r="M167" s="838"/>
      <c r="N167" s="838"/>
      <c r="O167" s="838"/>
      <c r="P167" s="838"/>
      <c r="Q167" s="838"/>
      <c r="R167" s="838"/>
      <c r="S167" s="838"/>
      <c r="T167" s="838"/>
      <c r="U167" s="838"/>
      <c r="V167" s="838"/>
      <c r="W167" s="839"/>
    </row>
    <row r="168" spans="1:23" ht="30" customHeight="1" thickBot="1" x14ac:dyDescent="0.3">
      <c r="A168" s="271">
        <v>160</v>
      </c>
      <c r="B168" s="1102" t="s">
        <v>3359</v>
      </c>
      <c r="C168" s="1102"/>
      <c r="D168" s="1102"/>
      <c r="E168" s="1102"/>
      <c r="F168" s="1102"/>
      <c r="G168" s="1103"/>
      <c r="H168" s="838" t="str">
        <f t="shared" si="5"/>
        <v>Suivi satisfaction : croiser note convive, quantité servie, reste assiette, météo, jour de semaine et intitulé de recette.</v>
      </c>
      <c r="I168" s="838"/>
      <c r="J168" s="838"/>
      <c r="K168" s="838"/>
      <c r="L168" s="838"/>
      <c r="M168" s="838"/>
      <c r="N168" s="838"/>
      <c r="O168" s="838"/>
      <c r="P168" s="838"/>
      <c r="Q168" s="838"/>
      <c r="R168" s="838"/>
      <c r="S168" s="838"/>
      <c r="T168" s="838"/>
      <c r="U168" s="838"/>
      <c r="V168" s="838"/>
      <c r="W168" s="839"/>
    </row>
    <row r="169" spans="1:23" ht="30" customHeight="1" thickBot="1" x14ac:dyDescent="0.3">
      <c r="A169" s="271">
        <v>161</v>
      </c>
      <c r="B169" s="1102" t="s">
        <v>4375</v>
      </c>
      <c r="C169" s="1102"/>
      <c r="D169" s="1102"/>
      <c r="E169" s="1102"/>
      <c r="F169" s="1102"/>
      <c r="G169" s="1103"/>
      <c r="H169" s="838" t="str">
        <f t="shared" si="5"/>
        <v>Sur l’année, il faut regarder combien de menus végétariens sont servis, quelles protéines sont utilisées, le coût, le gaspillage et si les élèves aiment.;végétal / coût</v>
      </c>
      <c r="I169" s="838"/>
      <c r="J169" s="838"/>
      <c r="K169" s="838"/>
      <c r="L169" s="838"/>
      <c r="M169" s="838"/>
      <c r="N169" s="838"/>
      <c r="O169" s="838"/>
      <c r="P169" s="838"/>
      <c r="Q169" s="838"/>
      <c r="R169" s="838"/>
      <c r="S169" s="838"/>
      <c r="T169" s="838"/>
      <c r="U169" s="838"/>
      <c r="V169" s="838"/>
      <c r="W169" s="839"/>
    </row>
    <row r="170" spans="1:23" ht="30" customHeight="1" thickBot="1" x14ac:dyDescent="0.3">
      <c r="A170" s="271">
        <v>162</v>
      </c>
      <c r="B170" s="1102" t="s">
        <v>3421</v>
      </c>
      <c r="C170" s="1102"/>
      <c r="D170" s="1102"/>
      <c r="E170" s="1102"/>
      <c r="F170" s="1102"/>
      <c r="G170" s="1103"/>
      <c r="H170" s="838" t="str">
        <f t="shared" si="5"/>
        <v>Test dégustation : proposer échantillons avant généralisation, recueillir verbatims, noter refus, ajuster assaisonnement et relancer essai.</v>
      </c>
      <c r="I170" s="838"/>
      <c r="J170" s="838"/>
      <c r="K170" s="838"/>
      <c r="L170" s="838"/>
      <c r="M170" s="838"/>
      <c r="N170" s="838"/>
      <c r="O170" s="838"/>
      <c r="P170" s="838"/>
      <c r="Q170" s="838"/>
      <c r="R170" s="838"/>
      <c r="S170" s="838"/>
      <c r="T170" s="838"/>
      <c r="U170" s="838"/>
      <c r="V170" s="838"/>
      <c r="W170" s="839"/>
    </row>
    <row r="171" spans="1:23" ht="30" customHeight="1" thickBot="1" x14ac:dyDescent="0.3">
      <c r="A171" s="271">
        <v>163</v>
      </c>
      <c r="B171" s="1102" t="s">
        <v>3254</v>
      </c>
      <c r="C171" s="1102"/>
      <c r="D171" s="1102"/>
      <c r="E171" s="1102"/>
      <c r="F171" s="1102"/>
      <c r="G171" s="1103"/>
      <c r="H171" s="838" t="str">
        <f t="shared" si="5"/>
        <v>Test protéines de soja texturées : réhydratation longue, goût neutre, assaisonnement indispensable, allergène soja à afficher et satisfaction à mesurer.</v>
      </c>
      <c r="I171" s="838"/>
      <c r="J171" s="838"/>
      <c r="K171" s="838"/>
      <c r="L171" s="838"/>
      <c r="M171" s="838"/>
      <c r="N171" s="838"/>
      <c r="O171" s="838"/>
      <c r="P171" s="838"/>
      <c r="Q171" s="838"/>
      <c r="R171" s="838"/>
      <c r="S171" s="838"/>
      <c r="T171" s="838"/>
      <c r="U171" s="838"/>
      <c r="V171" s="838"/>
      <c r="W171" s="839"/>
    </row>
    <row r="172" spans="1:23" ht="30" customHeight="1" thickBot="1" x14ac:dyDescent="0.3">
      <c r="A172" s="271">
        <v>164</v>
      </c>
      <c r="B172" s="1102" t="s">
        <v>3271</v>
      </c>
      <c r="C172" s="1102"/>
      <c r="D172" s="1102"/>
      <c r="E172" s="1102"/>
      <c r="F172" s="1102"/>
      <c r="G172" s="1103"/>
      <c r="H172" s="838" t="str">
        <f t="shared" si="5"/>
        <v>Test restauration collective : galette de lentilles servie en burger, texture trop friable, sauce froide appréciée, coût portion correct et pertes en production à suivre.</v>
      </c>
      <c r="I172" s="838"/>
      <c r="J172" s="838"/>
      <c r="K172" s="838"/>
      <c r="L172" s="838"/>
      <c r="M172" s="838"/>
      <c r="N172" s="838"/>
      <c r="O172" s="838"/>
      <c r="P172" s="838"/>
      <c r="Q172" s="838"/>
      <c r="R172" s="838"/>
      <c r="S172" s="838"/>
      <c r="T172" s="838"/>
      <c r="U172" s="838"/>
      <c r="V172" s="838"/>
      <c r="W172" s="839"/>
    </row>
    <row r="173" spans="1:23" ht="30" customHeight="1" thickBot="1" x14ac:dyDescent="0.3">
      <c r="A173" s="271">
        <v>165</v>
      </c>
      <c r="B173" s="1102" t="s">
        <v>3371</v>
      </c>
      <c r="C173" s="1102"/>
      <c r="D173" s="1102"/>
      <c r="E173" s="1102"/>
      <c r="F173" s="1102"/>
      <c r="G173" s="1103"/>
      <c r="H173" s="838" t="str">
        <f t="shared" si="5"/>
        <v>Traçabilité : conserver fiche technique, fournisseur, allergènes, rendement, grammes servis et retours convives pour chaque recette végétale testée.</v>
      </c>
      <c r="I173" s="838"/>
      <c r="J173" s="838"/>
      <c r="K173" s="838"/>
      <c r="L173" s="838"/>
      <c r="M173" s="838"/>
      <c r="N173" s="838"/>
      <c r="O173" s="838"/>
      <c r="P173" s="838"/>
      <c r="Q173" s="838"/>
      <c r="R173" s="838"/>
      <c r="S173" s="838"/>
      <c r="T173" s="838"/>
      <c r="U173" s="838"/>
      <c r="V173" s="838"/>
      <c r="W173" s="839"/>
    </row>
    <row r="174" spans="1:23" ht="30" customHeight="1" thickBot="1" x14ac:dyDescent="0.3">
      <c r="A174" s="271">
        <v>166</v>
      </c>
      <c r="B174" s="1102" t="s">
        <v>4374</v>
      </c>
      <c r="C174" s="1102"/>
      <c r="D174" s="1102"/>
      <c r="E174" s="1102"/>
      <c r="F174" s="1102"/>
      <c r="G174" s="1103"/>
      <c r="H174" s="838" t="str">
        <f t="shared" si="5"/>
        <v>Un bon plat végétal, ce n’est pas juste enlever la viande. Il faut une protéine, une garniture, une sauce et une texture agréable.;végétal / nutrition / bouche</v>
      </c>
      <c r="I174" s="838"/>
      <c r="J174" s="838"/>
      <c r="K174" s="838"/>
      <c r="L174" s="838"/>
      <c r="M174" s="838"/>
      <c r="N174" s="838"/>
      <c r="O174" s="838"/>
      <c r="P174" s="838"/>
      <c r="Q174" s="838"/>
      <c r="R174" s="838"/>
      <c r="S174" s="838"/>
      <c r="T174" s="838"/>
      <c r="U174" s="838"/>
      <c r="V174" s="838"/>
      <c r="W174" s="839"/>
    </row>
    <row r="175" spans="1:23" ht="30" customHeight="1" thickBot="1" x14ac:dyDescent="0.3">
      <c r="A175" s="271">
        <v>167</v>
      </c>
      <c r="B175" s="1102" t="s">
        <v>3480</v>
      </c>
      <c r="C175" s="1102"/>
      <c r="D175" s="1102"/>
      <c r="E175" s="1102"/>
      <c r="F175" s="1102"/>
      <c r="G175" s="1103"/>
      <c r="H175" s="838" t="str">
        <f t="shared" si="5"/>
        <v>Un chili végétal aux haricots rouges peut être économiquement intéressant, mais il faut comparer le coût matière, le temps de préparation, les pertes et les retours plateaux.;végétal / coût</v>
      </c>
      <c r="I175" s="838"/>
      <c r="J175" s="838"/>
      <c r="K175" s="838"/>
      <c r="L175" s="838"/>
      <c r="M175" s="838"/>
      <c r="N175" s="838"/>
      <c r="O175" s="838"/>
      <c r="P175" s="838"/>
      <c r="Q175" s="838"/>
      <c r="R175" s="838"/>
      <c r="S175" s="838"/>
      <c r="T175" s="838"/>
      <c r="U175" s="838"/>
      <c r="V175" s="838"/>
      <c r="W175" s="839"/>
    </row>
    <row r="176" spans="1:23" ht="30" customHeight="1" thickBot="1" x14ac:dyDescent="0.3">
      <c r="A176" s="271">
        <v>168</v>
      </c>
      <c r="B176" s="1102" t="s">
        <v>4371</v>
      </c>
      <c r="C176" s="1102"/>
      <c r="D176" s="1102"/>
      <c r="E176" s="1102"/>
      <c r="F176" s="1102"/>
      <c r="G176" s="1103"/>
      <c r="H176" s="838" t="str">
        <f t="shared" si="5"/>
        <v>Un chili végétal aux haricots rouges peut être intéressant, mais il faut regarder le prix, le temps de préparation, les pertes et ce qui revient dans les assiettes.;végétal / coût</v>
      </c>
      <c r="I176" s="838"/>
      <c r="J176" s="838"/>
      <c r="K176" s="838"/>
      <c r="L176" s="838"/>
      <c r="M176" s="838"/>
      <c r="N176" s="838"/>
      <c r="O176" s="838"/>
      <c r="P176" s="838"/>
      <c r="Q176" s="838"/>
      <c r="R176" s="838"/>
      <c r="S176" s="838"/>
      <c r="T176" s="838"/>
      <c r="U176" s="838"/>
      <c r="V176" s="838"/>
      <c r="W176" s="839"/>
    </row>
    <row r="177" spans="1:23" ht="30" customHeight="1" thickBot="1" x14ac:dyDescent="0.3">
      <c r="A177" s="271">
        <v>169</v>
      </c>
      <c r="B177" s="1102" t="s">
        <v>3477</v>
      </c>
      <c r="C177" s="1102"/>
      <c r="D177" s="1102"/>
      <c r="E177" s="1102"/>
      <c r="F177" s="1102"/>
      <c r="G177" s="1103"/>
      <c r="H177" s="838" t="str">
        <f t="shared" si="5"/>
        <v>Une alternative végétale doit être testée avec les équipes avant généralisation : grammage, tenue au chaud, coût portion, acceptabilité et gaspillage doivent être suivis.;alternative / végétal / coût</v>
      </c>
      <c r="I177" s="838"/>
      <c r="J177" s="838"/>
      <c r="K177" s="838"/>
      <c r="L177" s="838"/>
      <c r="M177" s="838"/>
      <c r="N177" s="838"/>
      <c r="O177" s="838"/>
      <c r="P177" s="838"/>
      <c r="Q177" s="838"/>
      <c r="R177" s="838"/>
      <c r="S177" s="838"/>
      <c r="T177" s="838"/>
      <c r="U177" s="838"/>
      <c r="V177" s="838"/>
      <c r="W177" s="839"/>
    </row>
    <row r="178" spans="1:23" ht="30" customHeight="1" thickBot="1" x14ac:dyDescent="0.3">
      <c r="A178" s="271">
        <v>170</v>
      </c>
      <c r="B178" s="1102" t="s">
        <v>3470</v>
      </c>
      <c r="C178" s="1102"/>
      <c r="D178" s="1102"/>
      <c r="E178" s="1102"/>
      <c r="F178" s="1102"/>
      <c r="G178" s="1103"/>
      <c r="H178" s="838" t="str">
        <f t="shared" si="5"/>
        <v>Une légumineuse comme le pois chiche peut remplacer une partie de la protéine animale dans un plat complet, à condition de travailler la texture et le goût.;légumineuse / protéine / texture-goût</v>
      </c>
      <c r="I178" s="838"/>
      <c r="J178" s="838"/>
      <c r="K178" s="838"/>
      <c r="L178" s="838"/>
      <c r="M178" s="838"/>
      <c r="N178" s="838"/>
      <c r="O178" s="838"/>
      <c r="P178" s="838"/>
      <c r="Q178" s="838"/>
      <c r="R178" s="838"/>
      <c r="S178" s="838"/>
      <c r="T178" s="838"/>
      <c r="U178" s="838"/>
      <c r="V178" s="838"/>
      <c r="W178" s="839"/>
    </row>
    <row r="179" spans="1:23" ht="30" customHeight="1" thickBot="1" x14ac:dyDescent="0.3">
      <c r="A179" s="271">
        <v>171</v>
      </c>
      <c r="B179" s="1102" t="s">
        <v>3471</v>
      </c>
      <c r="C179" s="1102"/>
      <c r="D179" s="1102"/>
      <c r="E179" s="1102"/>
      <c r="F179" s="1102"/>
      <c r="G179" s="1103"/>
      <c r="H179" s="838" t="str">
        <f t="shared" si="5"/>
        <v>Une légumineuse comme le pois chiche peut remplacer une partie de la protéine animale dans un plat complet, à condition de travailler le ressenti en bouche, la texture et le goût.;légumineuse / protéine / bouche / texture / goût</v>
      </c>
      <c r="I179" s="838"/>
      <c r="J179" s="838"/>
      <c r="K179" s="838"/>
      <c r="L179" s="838"/>
      <c r="M179" s="838"/>
      <c r="N179" s="838"/>
      <c r="O179" s="838"/>
      <c r="P179" s="838"/>
      <c r="Q179" s="838"/>
      <c r="R179" s="838"/>
      <c r="S179" s="838"/>
      <c r="T179" s="838"/>
      <c r="U179" s="838"/>
      <c r="V179" s="838"/>
      <c r="W179" s="839"/>
    </row>
    <row r="180" spans="1:23" ht="30" customHeight="1" thickBot="1" x14ac:dyDescent="0.3">
      <c r="A180" s="271">
        <v>172</v>
      </c>
      <c r="B180" s="1102" t="s">
        <v>3483</v>
      </c>
      <c r="C180" s="1102"/>
      <c r="D180" s="1102"/>
      <c r="E180" s="1102"/>
      <c r="F180" s="1102"/>
      <c r="G180" s="1103"/>
      <c r="H180" s="838" t="str">
        <f t="shared" si="5"/>
        <v>Une recette végétale réussie n’est pas seulement une recette sans viande. Elle doit avoir une source protéique claire, une garniture adaptée, une sauce et une texture agréable.;végétal / nutrition / bouche</v>
      </c>
      <c r="I180" s="838"/>
      <c r="J180" s="838"/>
      <c r="K180" s="838"/>
      <c r="L180" s="838"/>
      <c r="M180" s="838"/>
      <c r="N180" s="838"/>
      <c r="O180" s="838"/>
      <c r="P180" s="838"/>
      <c r="Q180" s="838"/>
      <c r="R180" s="838"/>
      <c r="S180" s="838"/>
      <c r="T180" s="838"/>
      <c r="U180" s="838"/>
      <c r="V180" s="838"/>
      <c r="W180" s="839"/>
    </row>
    <row r="181" spans="1:23" ht="30" customHeight="1" thickBot="1" x14ac:dyDescent="0.3">
      <c r="A181" s="271">
        <v>173</v>
      </c>
      <c r="B181" s="1102" t="s">
        <v>3488</v>
      </c>
      <c r="C181" s="1102"/>
      <c r="D181" s="1102"/>
      <c r="E181" s="1102"/>
      <c r="F181" s="1102"/>
      <c r="G181" s="1103"/>
      <c r="H181" s="838" t="str">
        <f t="shared" si="5"/>
        <v>Une substitution mal expliquée peut créer du rejet. Il vaut mieux parler de recette complète, de goût, de saison, de coût maîtrisé et de qualité nutritionnelle.;substitution / coût / nutrition</v>
      </c>
      <c r="I181" s="838"/>
      <c r="J181" s="838"/>
      <c r="K181" s="838"/>
      <c r="L181" s="838"/>
      <c r="M181" s="838"/>
      <c r="N181" s="838"/>
      <c r="O181" s="838"/>
      <c r="P181" s="838"/>
      <c r="Q181" s="838"/>
      <c r="R181" s="838"/>
      <c r="S181" s="838"/>
      <c r="T181" s="838"/>
      <c r="U181" s="838"/>
      <c r="V181" s="838"/>
      <c r="W181" s="839"/>
    </row>
    <row r="182" spans="1:23" ht="30" customHeight="1" thickBot="1" x14ac:dyDescent="0.3">
      <c r="A182" s="271">
        <v>174</v>
      </c>
      <c r="B182" s="1102" t="s">
        <v>3429</v>
      </c>
      <c r="C182" s="1102"/>
      <c r="D182" s="1102"/>
      <c r="E182" s="1102"/>
      <c r="F182" s="1102"/>
      <c r="G182" s="1103"/>
      <c r="H182" s="838" t="str">
        <f t="shared" si="5"/>
        <v>Vigilance seitan : produit riche en gluten, exclu pour intolérants ou cœliaques, alternative pois chiches ou lentilles à prévoir.</v>
      </c>
      <c r="I182" s="838"/>
      <c r="J182" s="838"/>
      <c r="K182" s="838"/>
      <c r="L182" s="838"/>
      <c r="M182" s="838"/>
      <c r="N182" s="838"/>
      <c r="O182" s="838"/>
      <c r="P182" s="838"/>
      <c r="Q182" s="838"/>
      <c r="R182" s="838"/>
      <c r="S182" s="838"/>
      <c r="T182" s="838"/>
      <c r="U182" s="838"/>
      <c r="V182" s="838"/>
      <c r="W182" s="839"/>
    </row>
    <row r="183" spans="1:23" ht="30" customHeight="1" thickBot="1" x14ac:dyDescent="0.3">
      <c r="A183" s="269"/>
      <c r="B183" s="266" t="s">
        <v>3228</v>
      </c>
      <c r="C183" s="296" t="s">
        <v>3492</v>
      </c>
      <c r="D183" s="296"/>
      <c r="E183" s="296"/>
      <c r="F183" s="296"/>
      <c r="G183" s="296"/>
      <c r="H183" s="268" t="s">
        <v>3490</v>
      </c>
      <c r="I183" s="269"/>
      <c r="J183" s="269"/>
      <c r="K183" s="269"/>
      <c r="L183" s="269"/>
      <c r="M183" s="269"/>
      <c r="N183" s="269"/>
      <c r="O183" s="272"/>
      <c r="P183" s="272"/>
      <c r="Q183" s="272"/>
      <c r="R183" s="272"/>
      <c r="S183" s="272"/>
      <c r="T183" s="272"/>
      <c r="U183" s="272"/>
      <c r="V183" s="272"/>
      <c r="W183" s="272"/>
    </row>
    <row r="184" spans="1:23" ht="30" customHeight="1" thickBot="1" x14ac:dyDescent="0.3">
      <c r="A184" s="271">
        <v>175</v>
      </c>
      <c r="B184" s="1105" t="s">
        <v>4271</v>
      </c>
      <c r="C184" s="1105"/>
      <c r="D184" s="1105"/>
      <c r="E184" s="1105"/>
      <c r="F184" s="1105"/>
      <c r="G184" s="1106"/>
      <c r="H184" s="838" t="str">
        <f t="shared" ref="H184:H247" si="6">B184</f>
        <v>À l’hôpital, il faut adapter les plats végétaux aux régimes, aux textures modifiées et aux personnes qui digèrent mal les fibres.</v>
      </c>
      <c r="I184" s="838"/>
      <c r="J184" s="838"/>
      <c r="K184" s="838"/>
      <c r="L184" s="838"/>
      <c r="M184" s="838"/>
      <c r="N184" s="838"/>
      <c r="O184" s="838"/>
      <c r="P184" s="838"/>
      <c r="Q184" s="838"/>
      <c r="R184" s="838"/>
      <c r="S184" s="838"/>
      <c r="T184" s="838"/>
      <c r="U184" s="838"/>
      <c r="V184" s="838"/>
      <c r="W184" s="839"/>
    </row>
    <row r="185" spans="1:23" ht="30" customHeight="1" thickBot="1" x14ac:dyDescent="0.3">
      <c r="A185" s="271">
        <v>176</v>
      </c>
      <c r="B185" s="1105" t="s">
        <v>3239</v>
      </c>
      <c r="C185" s="1105"/>
      <c r="D185" s="1105"/>
      <c r="E185" s="1105"/>
      <c r="F185" s="1105"/>
      <c r="G185" s="1106"/>
      <c r="H185" s="838" t="str">
        <f t="shared" si="6"/>
        <v>Après 45 minutes au chaud, la sauce diminue, le moelleux baisse et la texture devient sèche.</v>
      </c>
      <c r="I185" s="838"/>
      <c r="J185" s="838"/>
      <c r="K185" s="838"/>
      <c r="L185" s="838"/>
      <c r="M185" s="838"/>
      <c r="N185" s="838"/>
      <c r="O185" s="838"/>
      <c r="P185" s="838"/>
      <c r="Q185" s="838"/>
      <c r="R185" s="838"/>
      <c r="S185" s="838"/>
      <c r="T185" s="838"/>
      <c r="U185" s="838"/>
      <c r="V185" s="838"/>
      <c r="W185" s="839"/>
    </row>
    <row r="186" spans="1:23" ht="30" customHeight="1" thickBot="1" x14ac:dyDescent="0.3">
      <c r="A186" s="271">
        <v>177</v>
      </c>
      <c r="B186" s="1105" t="s">
        <v>4031</v>
      </c>
      <c r="C186" s="1105"/>
      <c r="D186" s="1105"/>
      <c r="E186" s="1105"/>
      <c r="F186" s="1105"/>
      <c r="G186" s="1106"/>
      <c r="H186" s="838" t="str">
        <f t="shared" si="6"/>
        <v>Après une heure au chaud, le plat était devenu épais et sec.</v>
      </c>
      <c r="I186" s="838"/>
      <c r="J186" s="838"/>
      <c r="K186" s="838"/>
      <c r="L186" s="838"/>
      <c r="M186" s="838"/>
      <c r="N186" s="838"/>
      <c r="O186" s="838"/>
      <c r="P186" s="838"/>
      <c r="Q186" s="838"/>
      <c r="R186" s="838"/>
      <c r="S186" s="838"/>
      <c r="T186" s="838"/>
      <c r="U186" s="838"/>
      <c r="V186" s="838"/>
      <c r="W186" s="839"/>
    </row>
    <row r="187" spans="1:23" ht="30" customHeight="1" thickBot="1" x14ac:dyDescent="0.3">
      <c r="A187" s="271">
        <v>178</v>
      </c>
      <c r="B187" s="1105" t="s">
        <v>4250</v>
      </c>
      <c r="C187" s="1105"/>
      <c r="D187" s="1105"/>
      <c r="E187" s="1105"/>
      <c r="F187" s="1105"/>
      <c r="G187" s="1106"/>
      <c r="H187" s="838" t="str">
        <f t="shared" si="6"/>
        <v>Au self, il ne faut pas juste dire plat végétarien. Il faut expliquer simplement ce qu’il y a dedans et parler de la sauce.</v>
      </c>
      <c r="I187" s="838"/>
      <c r="J187" s="838"/>
      <c r="K187" s="838"/>
      <c r="L187" s="838"/>
      <c r="M187" s="838"/>
      <c r="N187" s="838"/>
      <c r="O187" s="838"/>
      <c r="P187" s="838"/>
      <c r="Q187" s="838"/>
      <c r="R187" s="838"/>
      <c r="S187" s="838"/>
      <c r="T187" s="838"/>
      <c r="U187" s="838"/>
      <c r="V187" s="838"/>
      <c r="W187" s="839"/>
    </row>
    <row r="188" spans="1:23" ht="30" customHeight="1" thickBot="1" x14ac:dyDescent="0.3">
      <c r="A188" s="271">
        <v>179</v>
      </c>
      <c r="B188" s="1105" t="s">
        <v>4349</v>
      </c>
      <c r="C188" s="1105"/>
      <c r="D188" s="1105"/>
      <c r="E188" s="1105"/>
      <c r="F188" s="1105"/>
      <c r="G188" s="1106"/>
      <c r="H188" s="838" t="str">
        <f t="shared" si="6"/>
        <v>Au self, il vaut mieux mettre un message simple sur les ingrédients plutôt qu’un grand discours.</v>
      </c>
      <c r="I188" s="838"/>
      <c r="J188" s="838"/>
      <c r="K188" s="838"/>
      <c r="L188" s="838"/>
      <c r="M188" s="838"/>
      <c r="N188" s="838"/>
      <c r="O188" s="838"/>
      <c r="P188" s="838"/>
      <c r="Q188" s="838"/>
      <c r="R188" s="838"/>
      <c r="S188" s="838"/>
      <c r="T188" s="838"/>
      <c r="U188" s="838"/>
      <c r="V188" s="838"/>
      <c r="W188" s="839"/>
    </row>
    <row r="189" spans="1:23" ht="30" customHeight="1" thickBot="1" x14ac:dyDescent="0.3">
      <c r="A189" s="271">
        <v>180</v>
      </c>
      <c r="B189" s="1105" t="s">
        <v>3249</v>
      </c>
      <c r="C189" s="1105"/>
      <c r="D189" s="1105"/>
      <c r="E189" s="1105"/>
      <c r="F189" s="1105"/>
      <c r="G189" s="1106"/>
      <c r="H189" s="838" t="str">
        <f t="shared" si="6"/>
        <v>Au self, le chili aux haricots est peu mangé : goût faible, sauce courte, texture sèche et beaucoup de gaspillage dans les assiettes.</v>
      </c>
      <c r="I189" s="838"/>
      <c r="J189" s="838"/>
      <c r="K189" s="838"/>
      <c r="L189" s="838"/>
      <c r="M189" s="838"/>
      <c r="N189" s="838"/>
      <c r="O189" s="838"/>
      <c r="P189" s="838"/>
      <c r="Q189" s="838"/>
      <c r="R189" s="838"/>
      <c r="S189" s="838"/>
      <c r="T189" s="838"/>
      <c r="U189" s="838"/>
      <c r="V189" s="838"/>
      <c r="W189" s="839"/>
    </row>
    <row r="190" spans="1:23" ht="30" customHeight="1" thickBot="1" x14ac:dyDescent="0.3">
      <c r="A190" s="271">
        <v>181</v>
      </c>
      <c r="B190" s="1105" t="s">
        <v>4236</v>
      </c>
      <c r="C190" s="1105"/>
      <c r="D190" s="1105"/>
      <c r="E190" s="1105"/>
      <c r="F190" s="1105"/>
      <c r="G190" s="1106"/>
      <c r="H190" s="838" t="str">
        <f t="shared" si="6"/>
        <v>Au self, si tu dis juste végétal, les élèves prennent pas forcément.</v>
      </c>
      <c r="I190" s="838"/>
      <c r="J190" s="838"/>
      <c r="K190" s="838"/>
      <c r="L190" s="838"/>
      <c r="M190" s="838"/>
      <c r="N190" s="838"/>
      <c r="O190" s="838"/>
      <c r="P190" s="838"/>
      <c r="Q190" s="838"/>
      <c r="R190" s="838"/>
      <c r="S190" s="838"/>
      <c r="T190" s="838"/>
      <c r="U190" s="838"/>
      <c r="V190" s="838"/>
      <c r="W190" s="839"/>
    </row>
    <row r="191" spans="1:23" ht="30" customHeight="1" thickBot="1" x14ac:dyDescent="0.3">
      <c r="A191" s="271">
        <v>182</v>
      </c>
      <c r="B191" s="1105" t="s">
        <v>4259</v>
      </c>
      <c r="C191" s="1105"/>
      <c r="D191" s="1105"/>
      <c r="E191" s="1105"/>
      <c r="F191" s="1105"/>
      <c r="G191" s="1106"/>
      <c r="H191" s="838" t="str">
        <f t="shared" si="6"/>
        <v>Avant d’acheter un produit végétal, il faut regarder le goût, les allergènes, le prix, le rendement et si c’est facile à cuisiner.</v>
      </c>
      <c r="I191" s="838"/>
      <c r="J191" s="838"/>
      <c r="K191" s="838"/>
      <c r="L191" s="838"/>
      <c r="M191" s="838"/>
      <c r="N191" s="838"/>
      <c r="O191" s="838"/>
      <c r="P191" s="838"/>
      <c r="Q191" s="838"/>
      <c r="R191" s="838"/>
      <c r="S191" s="838"/>
      <c r="T191" s="838"/>
      <c r="U191" s="838"/>
      <c r="V191" s="838"/>
      <c r="W191" s="839"/>
    </row>
    <row r="192" spans="1:23" ht="30" customHeight="1" thickBot="1" x14ac:dyDescent="0.3">
      <c r="A192" s="271">
        <v>183</v>
      </c>
      <c r="B192" s="1105" t="s">
        <v>4264</v>
      </c>
      <c r="C192" s="1105"/>
      <c r="D192" s="1105"/>
      <c r="E192" s="1105"/>
      <c r="F192" s="1105"/>
      <c r="G192" s="1106"/>
      <c r="H192" s="838" t="str">
        <f t="shared" si="6"/>
        <v>Avant d’envoyer le plat, il faut goûter, vérifier la température, la texture, la sauce et l’affichage des allergènes.</v>
      </c>
      <c r="I192" s="838"/>
      <c r="J192" s="838"/>
      <c r="K192" s="838"/>
      <c r="L192" s="838"/>
      <c r="M192" s="838"/>
      <c r="N192" s="838"/>
      <c r="O192" s="838"/>
      <c r="P192" s="838"/>
      <c r="Q192" s="838"/>
      <c r="R192" s="838"/>
      <c r="S192" s="838"/>
      <c r="T192" s="838"/>
      <c r="U192" s="838"/>
      <c r="V192" s="838"/>
      <c r="W192" s="839"/>
    </row>
    <row r="193" spans="1:23" ht="30" customHeight="1" thickBot="1" x14ac:dyDescent="0.3">
      <c r="A193" s="271">
        <v>184</v>
      </c>
      <c r="B193" s="1105" t="s">
        <v>4355</v>
      </c>
      <c r="C193" s="1105"/>
      <c r="D193" s="1105"/>
      <c r="E193" s="1105"/>
      <c r="F193" s="1105"/>
      <c r="G193" s="1106"/>
      <c r="H193" s="838" t="str">
        <f t="shared" si="6"/>
        <v>Avant de généraliser une recette, il faut faire goûter, écouter les remarques et corriger l’assaisonnement.</v>
      </c>
      <c r="I193" s="838"/>
      <c r="J193" s="838"/>
      <c r="K193" s="838"/>
      <c r="L193" s="838"/>
      <c r="M193" s="838"/>
      <c r="N193" s="838"/>
      <c r="O193" s="838"/>
      <c r="P193" s="838"/>
      <c r="Q193" s="838"/>
      <c r="R193" s="838"/>
      <c r="S193" s="838"/>
      <c r="T193" s="838"/>
      <c r="U193" s="838"/>
      <c r="V193" s="838"/>
      <c r="W193" s="839"/>
    </row>
    <row r="194" spans="1:23" ht="30" customHeight="1" thickBot="1" x14ac:dyDescent="0.3">
      <c r="A194" s="271">
        <v>185</v>
      </c>
      <c r="B194" s="1105" t="s">
        <v>4318</v>
      </c>
      <c r="C194" s="1105"/>
      <c r="D194" s="1105"/>
      <c r="E194" s="1105"/>
      <c r="F194" s="1105"/>
      <c r="G194" s="1106"/>
      <c r="H194" s="838" t="str">
        <f t="shared" si="6"/>
        <v>Avant de mettre une recette végétale sur tout le cycle, il faut vérifier le coût, le gaspillage, les allergènes et l’acceptation.</v>
      </c>
      <c r="I194" s="838"/>
      <c r="J194" s="838"/>
      <c r="K194" s="838"/>
      <c r="L194" s="838"/>
      <c r="M194" s="838"/>
      <c r="N194" s="838"/>
      <c r="O194" s="838"/>
      <c r="P194" s="838"/>
      <c r="Q194" s="838"/>
      <c r="R194" s="838"/>
      <c r="S194" s="838"/>
      <c r="T194" s="838"/>
      <c r="U194" s="838"/>
      <c r="V194" s="838"/>
      <c r="W194" s="839"/>
    </row>
    <row r="195" spans="1:23" ht="30" customHeight="1" thickBot="1" x14ac:dyDescent="0.3">
      <c r="A195" s="271">
        <v>186</v>
      </c>
      <c r="B195" s="1105" t="s">
        <v>3278</v>
      </c>
      <c r="C195" s="1105"/>
      <c r="D195" s="1105"/>
      <c r="E195" s="1105"/>
      <c r="F195" s="1105"/>
      <c r="G195" s="1106"/>
      <c r="H195" s="838" t="str">
        <f t="shared" si="6"/>
        <v>Avant de servir du tofu, on vérifie l’allergène soja et on prévoit une sauce car le produit seul est souvent trop neutre.</v>
      </c>
      <c r="I195" s="838"/>
      <c r="J195" s="838"/>
      <c r="K195" s="838"/>
      <c r="L195" s="838"/>
      <c r="M195" s="838"/>
      <c r="N195" s="838"/>
      <c r="O195" s="838"/>
      <c r="P195" s="838"/>
      <c r="Q195" s="838"/>
      <c r="R195" s="838"/>
      <c r="S195" s="838"/>
      <c r="T195" s="838"/>
      <c r="U195" s="838"/>
      <c r="V195" s="838"/>
      <c r="W195" s="839"/>
    </row>
    <row r="196" spans="1:23" ht="30" customHeight="1" thickBot="1" x14ac:dyDescent="0.3">
      <c r="A196" s="271">
        <v>187</v>
      </c>
      <c r="B196" s="1105" t="s">
        <v>4260</v>
      </c>
      <c r="C196" s="1105"/>
      <c r="D196" s="1105"/>
      <c r="E196" s="1105"/>
      <c r="F196" s="1105"/>
      <c r="G196" s="1106"/>
      <c r="H196" s="838" t="str">
        <f t="shared" si="6"/>
        <v>Avant le service, il faut vérifier si la recette contient du soja, du lupin ou du gluten et prévoir une alternative.</v>
      </c>
      <c r="I196" s="838"/>
      <c r="J196" s="838"/>
      <c r="K196" s="838"/>
      <c r="L196" s="838"/>
      <c r="M196" s="838"/>
      <c r="N196" s="838"/>
      <c r="O196" s="838"/>
      <c r="P196" s="838"/>
      <c r="Q196" s="838"/>
      <c r="R196" s="838"/>
      <c r="S196" s="838"/>
      <c r="T196" s="838"/>
      <c r="U196" s="838"/>
      <c r="V196" s="838"/>
      <c r="W196" s="839"/>
    </row>
    <row r="197" spans="1:23" ht="30" customHeight="1" thickBot="1" x14ac:dyDescent="0.3">
      <c r="A197" s="271">
        <v>188</v>
      </c>
      <c r="B197" s="1105" t="s">
        <v>3246</v>
      </c>
      <c r="C197" s="1105"/>
      <c r="D197" s="1105"/>
      <c r="E197" s="1105"/>
      <c r="F197" s="1105"/>
      <c r="G197" s="1106"/>
      <c r="H197" s="838" t="str">
        <f t="shared" si="6"/>
        <v>Avant le service, le seitan est contrôlé car il contient du gluten et une alternative doit être prévue.</v>
      </c>
      <c r="I197" s="838"/>
      <c r="J197" s="838"/>
      <c r="K197" s="838"/>
      <c r="L197" s="838"/>
      <c r="M197" s="838"/>
      <c r="N197" s="838"/>
      <c r="O197" s="838"/>
      <c r="P197" s="838"/>
      <c r="Q197" s="838"/>
      <c r="R197" s="838"/>
      <c r="S197" s="838"/>
      <c r="T197" s="838"/>
      <c r="U197" s="838"/>
      <c r="V197" s="838"/>
      <c r="W197" s="839"/>
    </row>
    <row r="198" spans="1:23" ht="30" customHeight="1" thickBot="1" x14ac:dyDescent="0.3">
      <c r="A198" s="271">
        <v>189</v>
      </c>
      <c r="B198" s="1105" t="s">
        <v>4313</v>
      </c>
      <c r="C198" s="1105"/>
      <c r="D198" s="1105"/>
      <c r="E198" s="1105"/>
      <c r="F198" s="1105"/>
      <c r="G198" s="1106"/>
      <c r="H198" s="838" t="str">
        <f t="shared" si="6"/>
        <v>Avec du soja ou du gluten, il faut éviter les mélanges avec d’autres plats et bien afficher les allergènes.</v>
      </c>
      <c r="I198" s="838"/>
      <c r="J198" s="838"/>
      <c r="K198" s="838"/>
      <c r="L198" s="838"/>
      <c r="M198" s="838"/>
      <c r="N198" s="838"/>
      <c r="O198" s="838"/>
      <c r="P198" s="838"/>
      <c r="Q198" s="838"/>
      <c r="R198" s="838"/>
      <c r="S198" s="838"/>
      <c r="T198" s="838"/>
      <c r="U198" s="838"/>
      <c r="V198" s="838"/>
      <c r="W198" s="839"/>
    </row>
    <row r="199" spans="1:23" ht="30" customHeight="1" thickBot="1" x14ac:dyDescent="0.3">
      <c r="A199" s="271">
        <v>190</v>
      </c>
      <c r="B199" s="1105" t="s">
        <v>4063</v>
      </c>
      <c r="C199" s="1105"/>
      <c r="D199" s="1105"/>
      <c r="E199" s="1105"/>
      <c r="F199" s="1105"/>
      <c r="G199" s="1106"/>
      <c r="H199" s="838" t="str">
        <f t="shared" si="6"/>
        <v>Avec plus d’herbes et un peu d’épices, le plat serait meilleur.</v>
      </c>
      <c r="I199" s="838"/>
      <c r="J199" s="838"/>
      <c r="K199" s="838"/>
      <c r="L199" s="838"/>
      <c r="M199" s="838"/>
      <c r="N199" s="838"/>
      <c r="O199" s="838"/>
      <c r="P199" s="838"/>
      <c r="Q199" s="838"/>
      <c r="R199" s="838"/>
      <c r="S199" s="838"/>
      <c r="T199" s="838"/>
      <c r="U199" s="838"/>
      <c r="V199" s="838"/>
      <c r="W199" s="839"/>
    </row>
    <row r="200" spans="1:23" ht="30" customHeight="1" thickBot="1" x14ac:dyDescent="0.3">
      <c r="A200" s="271">
        <v>191</v>
      </c>
      <c r="B200" s="1105" t="s">
        <v>4228</v>
      </c>
      <c r="C200" s="1105"/>
      <c r="D200" s="1105"/>
      <c r="E200" s="1105"/>
      <c r="F200" s="1105"/>
      <c r="G200" s="1106"/>
      <c r="H200" s="838" t="str">
        <f t="shared" si="6"/>
        <v>Ça passait mieux avec la sauce tomate.</v>
      </c>
      <c r="I200" s="838"/>
      <c r="J200" s="838"/>
      <c r="K200" s="838"/>
      <c r="L200" s="838"/>
      <c r="M200" s="838"/>
      <c r="N200" s="838"/>
      <c r="O200" s="838"/>
      <c r="P200" s="838"/>
      <c r="Q200" s="838"/>
      <c r="R200" s="838"/>
      <c r="S200" s="838"/>
      <c r="T200" s="838"/>
      <c r="U200" s="838"/>
      <c r="V200" s="838"/>
      <c r="W200" s="839"/>
    </row>
    <row r="201" spans="1:23" ht="30" customHeight="1" thickBot="1" x14ac:dyDescent="0.3">
      <c r="A201" s="271">
        <v>192</v>
      </c>
      <c r="B201" s="1105" t="s">
        <v>4183</v>
      </c>
      <c r="C201" s="1105"/>
      <c r="D201" s="1105"/>
      <c r="E201" s="1105"/>
      <c r="F201" s="1105"/>
      <c r="G201" s="1106"/>
      <c r="H201" s="838" t="str">
        <f t="shared" si="6"/>
        <v>Ce n’était pas assez assaisonné.</v>
      </c>
      <c r="I201" s="838"/>
      <c r="J201" s="838"/>
      <c r="K201" s="838"/>
      <c r="L201" s="838"/>
      <c r="M201" s="838"/>
      <c r="N201" s="838"/>
      <c r="O201" s="838"/>
      <c r="P201" s="838"/>
      <c r="Q201" s="838"/>
      <c r="R201" s="838"/>
      <c r="S201" s="838"/>
      <c r="T201" s="838"/>
      <c r="U201" s="838"/>
      <c r="V201" s="838"/>
      <c r="W201" s="839"/>
    </row>
    <row r="202" spans="1:23" ht="30" customHeight="1" thickBot="1" x14ac:dyDescent="0.3">
      <c r="A202" s="271">
        <v>193</v>
      </c>
      <c r="B202" s="1105" t="s">
        <v>4353</v>
      </c>
      <c r="C202" s="1105"/>
      <c r="D202" s="1105"/>
      <c r="E202" s="1105"/>
      <c r="F202" s="1105"/>
      <c r="G202" s="1106"/>
      <c r="H202" s="838" t="str">
        <f t="shared" si="6"/>
        <v>Chaque mois, on peut classer les recettes végétales selon goût, gaspillage, coût, facilité de production et allergènes.</v>
      </c>
      <c r="I202" s="838"/>
      <c r="J202" s="838"/>
      <c r="K202" s="838"/>
      <c r="L202" s="838"/>
      <c r="M202" s="838"/>
      <c r="N202" s="838"/>
      <c r="O202" s="838"/>
      <c r="P202" s="838"/>
      <c r="Q202" s="838"/>
      <c r="R202" s="838"/>
      <c r="S202" s="838"/>
      <c r="T202" s="838"/>
      <c r="U202" s="838"/>
      <c r="V202" s="838"/>
      <c r="W202" s="839"/>
    </row>
    <row r="203" spans="1:23" ht="30" customHeight="1" thickBot="1" x14ac:dyDescent="0.3">
      <c r="A203" s="271">
        <v>194</v>
      </c>
      <c r="B203" s="1105" t="s">
        <v>3368</v>
      </c>
      <c r="C203" s="1105"/>
      <c r="D203" s="1105"/>
      <c r="E203" s="1105"/>
      <c r="F203" s="1105"/>
      <c r="G203" s="1106"/>
      <c r="H203" s="838" t="str">
        <f t="shared" si="6"/>
        <v>Dans une cuisine collective, on teste d’abord une recette avant de la mettre souvent au menu.</v>
      </c>
      <c r="I203" s="838"/>
      <c r="J203" s="838"/>
      <c r="K203" s="838"/>
      <c r="L203" s="838"/>
      <c r="M203" s="838"/>
      <c r="N203" s="838"/>
      <c r="O203" s="838"/>
      <c r="P203" s="838"/>
      <c r="Q203" s="838"/>
      <c r="R203" s="838"/>
      <c r="S203" s="838"/>
      <c r="T203" s="838"/>
      <c r="U203" s="838"/>
      <c r="V203" s="838"/>
      <c r="W203" s="839"/>
    </row>
    <row r="204" spans="1:23" ht="30" customHeight="1" thickBot="1" x14ac:dyDescent="0.3">
      <c r="A204" s="271">
        <v>195</v>
      </c>
      <c r="B204" s="1105" t="s">
        <v>4334</v>
      </c>
      <c r="C204" s="1105"/>
      <c r="D204" s="1105"/>
      <c r="E204" s="1105"/>
      <c r="F204" s="1105"/>
      <c r="G204" s="1106"/>
      <c r="H204" s="838" t="str">
        <f t="shared" si="6"/>
        <v>Des boulettes de pois chiches peuvent être bonnes avec une sauce tomate, mais il faut éviter qu’elles soient sèches.</v>
      </c>
      <c r="I204" s="838"/>
      <c r="J204" s="838"/>
      <c r="K204" s="838"/>
      <c r="L204" s="838"/>
      <c r="M204" s="838"/>
      <c r="N204" s="838"/>
      <c r="O204" s="838"/>
      <c r="P204" s="838"/>
      <c r="Q204" s="838"/>
      <c r="R204" s="838"/>
      <c r="S204" s="838"/>
      <c r="T204" s="838"/>
      <c r="U204" s="838"/>
      <c r="V204" s="838"/>
      <c r="W204" s="839"/>
    </row>
    <row r="205" spans="1:23" ht="30" customHeight="1" thickBot="1" x14ac:dyDescent="0.3">
      <c r="A205" s="271">
        <v>196</v>
      </c>
      <c r="B205" s="1105" t="s">
        <v>4322</v>
      </c>
      <c r="C205" s="1105"/>
      <c r="D205" s="1105"/>
      <c r="E205" s="1105"/>
      <c r="F205" s="1105"/>
      <c r="G205" s="1106"/>
      <c r="H205" s="838" t="str">
        <f t="shared" si="6"/>
        <v>Des nouilles sautées au tofu peuvent être bonnes, mais il faut faire attention au soja, au gluten et au sel.</v>
      </c>
      <c r="I205" s="838"/>
      <c r="J205" s="838"/>
      <c r="K205" s="838"/>
      <c r="L205" s="838"/>
      <c r="M205" s="838"/>
      <c r="N205" s="838"/>
      <c r="O205" s="838"/>
      <c r="P205" s="838"/>
      <c r="Q205" s="838"/>
      <c r="R205" s="838"/>
      <c r="S205" s="838"/>
      <c r="T205" s="838"/>
      <c r="U205" s="838"/>
      <c r="V205" s="838"/>
      <c r="W205" s="839"/>
    </row>
    <row r="206" spans="1:23" ht="30" customHeight="1" thickBot="1" x14ac:dyDescent="0.3">
      <c r="A206" s="271">
        <v>197</v>
      </c>
      <c r="B206" s="1105" t="s">
        <v>4336</v>
      </c>
      <c r="C206" s="1105"/>
      <c r="D206" s="1105"/>
      <c r="E206" s="1105"/>
      <c r="F206" s="1105"/>
      <c r="G206" s="1106"/>
      <c r="H206" s="838" t="str">
        <f t="shared" si="6"/>
        <v>Des pois chiches mijotés avec légumes, cumin, tomate et semoule peuvent bien marcher si la sauce tient au chaud.</v>
      </c>
      <c r="I206" s="838"/>
      <c r="J206" s="838"/>
      <c r="K206" s="838"/>
      <c r="L206" s="838"/>
      <c r="M206" s="838"/>
      <c r="N206" s="838"/>
      <c r="O206" s="838"/>
      <c r="P206" s="838"/>
      <c r="Q206" s="838"/>
      <c r="R206" s="838"/>
      <c r="S206" s="838"/>
      <c r="T206" s="838"/>
      <c r="U206" s="838"/>
      <c r="V206" s="838"/>
      <c r="W206" s="839"/>
    </row>
    <row r="207" spans="1:23" ht="30" customHeight="1" thickBot="1" x14ac:dyDescent="0.3">
      <c r="A207" s="271">
        <v>198</v>
      </c>
      <c r="B207" s="1105" t="s">
        <v>4269</v>
      </c>
      <c r="C207" s="1105"/>
      <c r="D207" s="1105"/>
      <c r="E207" s="1105"/>
      <c r="F207" s="1105"/>
      <c r="G207" s="1106"/>
      <c r="H207" s="838" t="str">
        <f t="shared" si="6"/>
        <v>En cuisine centrale, le dhal de lentilles corail peut devenir trop épais en barquette. Il faut prévoir assez de sauce.</v>
      </c>
      <c r="I207" s="838"/>
      <c r="J207" s="838"/>
      <c r="K207" s="838"/>
      <c r="L207" s="838"/>
      <c r="M207" s="838"/>
      <c r="N207" s="838"/>
      <c r="O207" s="838"/>
      <c r="P207" s="838"/>
      <c r="Q207" s="838"/>
      <c r="R207" s="838"/>
      <c r="S207" s="838"/>
      <c r="T207" s="838"/>
      <c r="U207" s="838"/>
      <c r="V207" s="838"/>
      <c r="W207" s="839"/>
    </row>
    <row r="208" spans="1:23" ht="30" customHeight="1" thickBot="1" x14ac:dyDescent="0.3">
      <c r="A208" s="271">
        <v>199</v>
      </c>
      <c r="B208" s="1105" t="s">
        <v>4351</v>
      </c>
      <c r="C208" s="1105"/>
      <c r="D208" s="1105"/>
      <c r="E208" s="1105"/>
      <c r="F208" s="1105"/>
      <c r="G208" s="1106"/>
      <c r="H208" s="838" t="str">
        <f t="shared" si="6"/>
        <v>En EHPAD, il faut noter si les résidents mangent vraiment le plat, s’ils se fatiguent à mâcher et si la sauce aide.</v>
      </c>
      <c r="I208" s="838"/>
      <c r="J208" s="838"/>
      <c r="K208" s="838"/>
      <c r="L208" s="838"/>
      <c r="M208" s="838"/>
      <c r="N208" s="838"/>
      <c r="O208" s="838"/>
      <c r="P208" s="838"/>
      <c r="Q208" s="838"/>
      <c r="R208" s="838"/>
      <c r="S208" s="838"/>
      <c r="T208" s="838"/>
      <c r="U208" s="838"/>
      <c r="V208" s="838"/>
      <c r="W208" s="839"/>
    </row>
    <row r="209" spans="1:23" ht="30" customHeight="1" thickBot="1" x14ac:dyDescent="0.3">
      <c r="A209" s="271">
        <v>200</v>
      </c>
      <c r="B209" s="1105" t="s">
        <v>4270</v>
      </c>
      <c r="C209" s="1105"/>
      <c r="D209" s="1105"/>
      <c r="E209" s="1105"/>
      <c r="F209" s="1105"/>
      <c r="G209" s="1106"/>
      <c r="H209" s="838" t="str">
        <f t="shared" si="6"/>
        <v>En EHPAD, il faut tester si les résidents arrivent à mâcher les légumineuses et si le plat passe bien.</v>
      </c>
      <c r="I209" s="838"/>
      <c r="J209" s="838"/>
      <c r="K209" s="838"/>
      <c r="L209" s="838"/>
      <c r="M209" s="838"/>
      <c r="N209" s="838"/>
      <c r="O209" s="838"/>
      <c r="P209" s="838"/>
      <c r="Q209" s="838"/>
      <c r="R209" s="838"/>
      <c r="S209" s="838"/>
      <c r="T209" s="838"/>
      <c r="U209" s="838"/>
      <c r="V209" s="838"/>
      <c r="W209" s="839"/>
    </row>
    <row r="210" spans="1:23" ht="30" customHeight="1" thickBot="1" x14ac:dyDescent="0.3">
      <c r="A210" s="271">
        <v>201</v>
      </c>
      <c r="B210" s="1105" t="s">
        <v>4302</v>
      </c>
      <c r="C210" s="1105"/>
      <c r="D210" s="1105"/>
      <c r="E210" s="1105"/>
      <c r="F210" s="1105"/>
      <c r="G210" s="1106"/>
      <c r="H210" s="838" t="str">
        <f t="shared" si="6"/>
        <v>En EHPAD, un parmentier aux lentilles corail doit être moelleux, facile à manger et pas trop riche en fibres.</v>
      </c>
      <c r="I210" s="838"/>
      <c r="J210" s="838"/>
      <c r="K210" s="838"/>
      <c r="L210" s="838"/>
      <c r="M210" s="838"/>
      <c r="N210" s="838"/>
      <c r="O210" s="838"/>
      <c r="P210" s="838"/>
      <c r="Q210" s="838"/>
      <c r="R210" s="838"/>
      <c r="S210" s="838"/>
      <c r="T210" s="838"/>
      <c r="U210" s="838"/>
      <c r="V210" s="838"/>
      <c r="W210" s="839"/>
    </row>
    <row r="211" spans="1:23" ht="30" customHeight="1" thickBot="1" x14ac:dyDescent="0.3">
      <c r="A211" s="271">
        <v>202</v>
      </c>
      <c r="B211" s="1105" t="s">
        <v>3314</v>
      </c>
      <c r="C211" s="1105"/>
      <c r="D211" s="1105"/>
      <c r="E211" s="1105"/>
      <c r="F211" s="1105"/>
      <c r="G211" s="1106"/>
      <c r="H211" s="838" t="str">
        <f t="shared" si="6"/>
        <v>En EHPAD, un plat végétal doit être facile à mâcher, assez onctueux et bien assaisonné.</v>
      </c>
      <c r="I211" s="838"/>
      <c r="J211" s="838"/>
      <c r="K211" s="838"/>
      <c r="L211" s="838"/>
      <c r="M211" s="838"/>
      <c r="N211" s="838"/>
      <c r="O211" s="838"/>
      <c r="P211" s="838"/>
      <c r="Q211" s="838"/>
      <c r="R211" s="838"/>
      <c r="S211" s="838"/>
      <c r="T211" s="838"/>
      <c r="U211" s="838"/>
      <c r="V211" s="838"/>
      <c r="W211" s="839"/>
    </row>
    <row r="212" spans="1:23" ht="30" customHeight="1" thickBot="1" x14ac:dyDescent="0.3">
      <c r="A212" s="271">
        <v>203</v>
      </c>
      <c r="B212" s="1105" t="s">
        <v>4324</v>
      </c>
      <c r="C212" s="1105"/>
      <c r="D212" s="1105"/>
      <c r="E212" s="1105"/>
      <c r="F212" s="1105"/>
      <c r="G212" s="1106"/>
      <c r="H212" s="838" t="str">
        <f t="shared" si="6"/>
        <v>En EHPAD, un plat végétal doit être onctueux, facile à mâcher, avec assez de sauce et un goût clair.</v>
      </c>
      <c r="I212" s="838"/>
      <c r="J212" s="838"/>
      <c r="K212" s="838"/>
      <c r="L212" s="838"/>
      <c r="M212" s="838"/>
      <c r="N212" s="838"/>
      <c r="O212" s="838"/>
      <c r="P212" s="838"/>
      <c r="Q212" s="838"/>
      <c r="R212" s="838"/>
      <c r="S212" s="838"/>
      <c r="T212" s="838"/>
      <c r="U212" s="838"/>
      <c r="V212" s="838"/>
      <c r="W212" s="839"/>
    </row>
    <row r="213" spans="1:23" ht="30" customHeight="1" thickBot="1" x14ac:dyDescent="0.3">
      <c r="A213" s="271">
        <v>204</v>
      </c>
      <c r="B213" s="1105" t="s">
        <v>4291</v>
      </c>
      <c r="C213" s="1105"/>
      <c r="D213" s="1105"/>
      <c r="E213" s="1105"/>
      <c r="F213" s="1105"/>
      <c r="G213" s="1106"/>
      <c r="H213" s="838" t="str">
        <f t="shared" si="6"/>
        <v>En formation, on peut comparer le coût prévu et le coût réel après les pertes, la sauce ajoutée et les restes.</v>
      </c>
      <c r="I213" s="838"/>
      <c r="J213" s="838"/>
      <c r="K213" s="838"/>
      <c r="L213" s="838"/>
      <c r="M213" s="838"/>
      <c r="N213" s="838"/>
      <c r="O213" s="838"/>
      <c r="P213" s="838"/>
      <c r="Q213" s="838"/>
      <c r="R213" s="838"/>
      <c r="S213" s="838"/>
      <c r="T213" s="838"/>
      <c r="U213" s="838"/>
      <c r="V213" s="838"/>
      <c r="W213" s="839"/>
    </row>
    <row r="214" spans="1:23" ht="30" customHeight="1" thickBot="1" x14ac:dyDescent="0.3">
      <c r="A214" s="271">
        <v>205</v>
      </c>
      <c r="B214" s="1105" t="s">
        <v>4327</v>
      </c>
      <c r="C214" s="1105"/>
      <c r="D214" s="1105"/>
      <c r="E214" s="1105"/>
      <c r="F214" s="1105"/>
      <c r="G214" s="1106"/>
      <c r="H214" s="838" t="str">
        <f t="shared" si="6"/>
        <v>En grande quantité, il faut remuer sans écraser les légumineuses et éviter qu’elles collent ou deviennent trop cuites.</v>
      </c>
      <c r="I214" s="838"/>
      <c r="J214" s="838"/>
      <c r="K214" s="838"/>
      <c r="L214" s="838"/>
      <c r="M214" s="838"/>
      <c r="N214" s="838"/>
      <c r="O214" s="838"/>
      <c r="P214" s="838"/>
      <c r="Q214" s="838"/>
      <c r="R214" s="838"/>
      <c r="S214" s="838"/>
      <c r="T214" s="838"/>
      <c r="U214" s="838"/>
      <c r="V214" s="838"/>
      <c r="W214" s="839"/>
    </row>
    <row r="215" spans="1:23" ht="30" customHeight="1" thickBot="1" x14ac:dyDescent="0.3">
      <c r="A215" s="271">
        <v>206</v>
      </c>
      <c r="B215" s="1105" t="s">
        <v>3454</v>
      </c>
      <c r="C215" s="1105"/>
      <c r="D215" s="1105"/>
      <c r="E215" s="1105"/>
      <c r="F215" s="1105"/>
      <c r="G215" s="1106"/>
      <c r="H215" s="838" t="str">
        <f t="shared" si="6"/>
        <v>En restauration collective, une recette doit aussi être facile à produire en grande quantité.</v>
      </c>
      <c r="I215" s="838"/>
      <c r="J215" s="838"/>
      <c r="K215" s="838"/>
      <c r="L215" s="838"/>
      <c r="M215" s="838"/>
      <c r="N215" s="838"/>
      <c r="O215" s="838"/>
      <c r="P215" s="838"/>
      <c r="Q215" s="838"/>
      <c r="R215" s="838"/>
      <c r="S215" s="838"/>
      <c r="T215" s="838"/>
      <c r="U215" s="838"/>
      <c r="V215" s="838"/>
      <c r="W215" s="839"/>
    </row>
    <row r="216" spans="1:23" ht="30" customHeight="1" thickBot="1" x14ac:dyDescent="0.3">
      <c r="A216" s="271">
        <v>207</v>
      </c>
      <c r="B216" s="1105" t="s">
        <v>4225</v>
      </c>
      <c r="C216" s="1105"/>
      <c r="D216" s="1105"/>
      <c r="E216" s="1105"/>
      <c r="F216" s="1105"/>
      <c r="G216" s="1106"/>
      <c r="H216" s="838" t="str">
        <f t="shared" si="6"/>
        <v>Franchement le plat aux pois chiches était pas mauvais mais il manquait un truc.</v>
      </c>
      <c r="I216" s="838"/>
      <c r="J216" s="838"/>
      <c r="K216" s="838"/>
      <c r="L216" s="838"/>
      <c r="M216" s="838"/>
      <c r="N216" s="838"/>
      <c r="O216" s="838"/>
      <c r="P216" s="838"/>
      <c r="Q216" s="838"/>
      <c r="R216" s="838"/>
      <c r="S216" s="838"/>
      <c r="T216" s="838"/>
      <c r="U216" s="838"/>
      <c r="V216" s="838"/>
      <c r="W216" s="839"/>
    </row>
    <row r="217" spans="1:23" ht="30" customHeight="1" thickBot="1" x14ac:dyDescent="0.3">
      <c r="A217" s="271">
        <v>208</v>
      </c>
      <c r="B217" s="1105" t="s">
        <v>4028</v>
      </c>
      <c r="C217" s="1105"/>
      <c r="D217" s="1105"/>
      <c r="E217" s="1105"/>
      <c r="F217" s="1105"/>
      <c r="G217" s="1106"/>
      <c r="H217" s="838" t="str">
        <f t="shared" si="6"/>
        <v>Il faudrait dire curry de pois chiches au lieu de juste plat végétal.</v>
      </c>
      <c r="I217" s="838"/>
      <c r="J217" s="838"/>
      <c r="K217" s="838"/>
      <c r="L217" s="838"/>
      <c r="M217" s="838"/>
      <c r="N217" s="838"/>
      <c r="O217" s="838"/>
      <c r="P217" s="838"/>
      <c r="Q217" s="838"/>
      <c r="R217" s="838"/>
      <c r="S217" s="838"/>
      <c r="T217" s="838"/>
      <c r="U217" s="838"/>
      <c r="V217" s="838"/>
      <c r="W217" s="839"/>
    </row>
    <row r="218" spans="1:23" ht="30" customHeight="1" thickBot="1" x14ac:dyDescent="0.3">
      <c r="A218" s="271">
        <v>209</v>
      </c>
      <c r="B218" s="1105" t="s">
        <v>4321</v>
      </c>
      <c r="C218" s="1105"/>
      <c r="D218" s="1105"/>
      <c r="E218" s="1105"/>
      <c r="F218" s="1105"/>
      <c r="G218" s="1106"/>
      <c r="H218" s="838" t="str">
        <f t="shared" si="6"/>
        <v>Il faut alterner les formes : légumineuses entières, purées, boulettes, gratins, plats mijotés et plats en sauce.</v>
      </c>
      <c r="I218" s="838"/>
      <c r="J218" s="838"/>
      <c r="K218" s="838"/>
      <c r="L218" s="838"/>
      <c r="M218" s="838"/>
      <c r="N218" s="838"/>
      <c r="O218" s="838"/>
      <c r="P218" s="838"/>
      <c r="Q218" s="838"/>
      <c r="R218" s="838"/>
      <c r="S218" s="838"/>
      <c r="T218" s="838"/>
      <c r="U218" s="838"/>
      <c r="V218" s="838"/>
      <c r="W218" s="839"/>
    </row>
    <row r="219" spans="1:23" ht="30" customHeight="1" thickBot="1" x14ac:dyDescent="0.3">
      <c r="A219" s="271">
        <v>210</v>
      </c>
      <c r="B219" s="1105" t="s">
        <v>4267</v>
      </c>
      <c r="C219" s="1105"/>
      <c r="D219" s="1105"/>
      <c r="E219" s="1105"/>
      <c r="F219" s="1105"/>
      <c r="G219" s="1106"/>
      <c r="H219" s="838" t="str">
        <f t="shared" si="6"/>
        <v>Il faut chercher une texture agréable : pas trop sèche, pas farineuse, pas collante et pas granuleuse.</v>
      </c>
      <c r="I219" s="838"/>
      <c r="J219" s="838"/>
      <c r="K219" s="838"/>
      <c r="L219" s="838"/>
      <c r="M219" s="838"/>
      <c r="N219" s="838"/>
      <c r="O219" s="838"/>
      <c r="P219" s="838"/>
      <c r="Q219" s="838"/>
      <c r="R219" s="838"/>
      <c r="S219" s="838"/>
      <c r="T219" s="838"/>
      <c r="U219" s="838"/>
      <c r="V219" s="838"/>
      <c r="W219" s="839"/>
    </row>
    <row r="220" spans="1:23" ht="30" customHeight="1" thickBot="1" x14ac:dyDescent="0.3">
      <c r="A220" s="271">
        <v>211</v>
      </c>
      <c r="B220" s="1105" t="s">
        <v>4312</v>
      </c>
      <c r="C220" s="1105"/>
      <c r="D220" s="1105"/>
      <c r="E220" s="1105"/>
      <c r="F220" s="1105"/>
      <c r="G220" s="1106"/>
      <c r="H220" s="838" t="str">
        <f t="shared" si="6"/>
        <v>Il faut comparer les lentilles sèches, en boîte ou surgelées selon le prix, le temps de travail et la texture finale.</v>
      </c>
      <c r="I220" s="838"/>
      <c r="J220" s="838"/>
      <c r="K220" s="838"/>
      <c r="L220" s="838"/>
      <c r="M220" s="838"/>
      <c r="N220" s="838"/>
      <c r="O220" s="838"/>
      <c r="P220" s="838"/>
      <c r="Q220" s="838"/>
      <c r="R220" s="838"/>
      <c r="S220" s="838"/>
      <c r="T220" s="838"/>
      <c r="U220" s="838"/>
      <c r="V220" s="838"/>
      <c r="W220" s="839"/>
    </row>
    <row r="221" spans="1:23" ht="30" customHeight="1" thickBot="1" x14ac:dyDescent="0.3">
      <c r="A221" s="271">
        <v>212</v>
      </c>
      <c r="B221" s="1105" t="s">
        <v>3450</v>
      </c>
      <c r="C221" s="1105"/>
      <c r="D221" s="1105"/>
      <c r="E221" s="1105"/>
      <c r="F221" s="1105"/>
      <c r="G221" s="1106"/>
      <c r="H221" s="838" t="str">
        <f t="shared" si="6"/>
        <v>Il faut distinguer refus par goût, refus par texture et refus par manque d’information.</v>
      </c>
      <c r="I221" s="838"/>
      <c r="J221" s="838"/>
      <c r="K221" s="838"/>
      <c r="L221" s="838"/>
      <c r="M221" s="838"/>
      <c r="N221" s="838"/>
      <c r="O221" s="838"/>
      <c r="P221" s="838"/>
      <c r="Q221" s="838"/>
      <c r="R221" s="838"/>
      <c r="S221" s="838"/>
      <c r="T221" s="838"/>
      <c r="U221" s="838"/>
      <c r="V221" s="838"/>
      <c r="W221" s="839"/>
    </row>
    <row r="222" spans="1:23" ht="30" customHeight="1" thickBot="1" x14ac:dyDescent="0.3">
      <c r="A222" s="271">
        <v>213</v>
      </c>
      <c r="B222" s="1105" t="s">
        <v>4220</v>
      </c>
      <c r="C222" s="1105"/>
      <c r="D222" s="1105"/>
      <c r="E222" s="1105"/>
      <c r="F222" s="1105"/>
      <c r="G222" s="1106"/>
      <c r="H222" s="838" t="str">
        <f t="shared" si="6"/>
        <v>Il faut éviter de mettre deux plats végétaux secs la même semaine.</v>
      </c>
      <c r="I222" s="838"/>
      <c r="J222" s="838"/>
      <c r="K222" s="838"/>
      <c r="L222" s="838"/>
      <c r="M222" s="838"/>
      <c r="N222" s="838"/>
      <c r="O222" s="838"/>
      <c r="P222" s="838"/>
      <c r="Q222" s="838"/>
      <c r="R222" s="838"/>
      <c r="S222" s="838"/>
      <c r="T222" s="838"/>
      <c r="U222" s="838"/>
      <c r="V222" s="838"/>
      <c r="W222" s="839"/>
    </row>
    <row r="223" spans="1:23" ht="30" customHeight="1" thickBot="1" x14ac:dyDescent="0.3">
      <c r="A223" s="271">
        <v>214</v>
      </c>
      <c r="B223" s="1105" t="s">
        <v>4292</v>
      </c>
      <c r="C223" s="1105"/>
      <c r="D223" s="1105"/>
      <c r="E223" s="1105"/>
      <c r="F223" s="1105"/>
      <c r="G223" s="1106"/>
      <c r="H223" s="838" t="str">
        <f t="shared" si="6"/>
        <v>Il faut expliquer les protéines végétales simplement : goût, équilibre, cuisson, sauce et allergènes.</v>
      </c>
      <c r="I223" s="838"/>
      <c r="J223" s="838"/>
      <c r="K223" s="838"/>
      <c r="L223" s="838"/>
      <c r="M223" s="838"/>
      <c r="N223" s="838"/>
      <c r="O223" s="838"/>
      <c r="P223" s="838"/>
      <c r="Q223" s="838"/>
      <c r="R223" s="838"/>
      <c r="S223" s="838"/>
      <c r="T223" s="838"/>
      <c r="U223" s="838"/>
      <c r="V223" s="838"/>
      <c r="W223" s="839"/>
    </row>
    <row r="224" spans="1:23" ht="30" customHeight="1" thickBot="1" x14ac:dyDescent="0.3">
      <c r="A224" s="271">
        <v>215</v>
      </c>
      <c r="B224" s="1105" t="s">
        <v>4262</v>
      </c>
      <c r="C224" s="1105"/>
      <c r="D224" s="1105"/>
      <c r="E224" s="1105"/>
      <c r="F224" s="1105"/>
      <c r="G224" s="1106"/>
      <c r="H224" s="838" t="str">
        <f t="shared" si="6"/>
        <v>Il faut faire attention au soja caché dans certaines sauces, bouillons ou protéines végétales.</v>
      </c>
      <c r="I224" s="838"/>
      <c r="J224" s="838"/>
      <c r="K224" s="838"/>
      <c r="L224" s="838"/>
      <c r="M224" s="838"/>
      <c r="N224" s="838"/>
      <c r="O224" s="838"/>
      <c r="P224" s="838"/>
      <c r="Q224" s="838"/>
      <c r="R224" s="838"/>
      <c r="S224" s="838"/>
      <c r="T224" s="838"/>
      <c r="U224" s="838"/>
      <c r="V224" s="838"/>
      <c r="W224" s="839"/>
    </row>
    <row r="225" spans="1:23" ht="30" customHeight="1" thickBot="1" x14ac:dyDescent="0.3">
      <c r="A225" s="271">
        <v>216</v>
      </c>
      <c r="B225" s="1105" t="s">
        <v>4358</v>
      </c>
      <c r="C225" s="1105"/>
      <c r="D225" s="1105"/>
      <c r="E225" s="1105"/>
      <c r="F225" s="1105"/>
      <c r="G225" s="1106"/>
      <c r="H225" s="838" t="str">
        <f t="shared" si="6"/>
        <v>Il faut garder la fiche technique, le fournisseur, les allergènes, le rendement et les retours des élèves.</v>
      </c>
      <c r="I225" s="838"/>
      <c r="J225" s="838"/>
      <c r="K225" s="838"/>
      <c r="L225" s="838"/>
      <c r="M225" s="838"/>
      <c r="N225" s="838"/>
      <c r="O225" s="838"/>
      <c r="P225" s="838"/>
      <c r="Q225" s="838"/>
      <c r="R225" s="838"/>
      <c r="S225" s="838"/>
      <c r="T225" s="838"/>
      <c r="U225" s="838"/>
      <c r="V225" s="838"/>
      <c r="W225" s="839"/>
    </row>
    <row r="226" spans="1:23" ht="30" customHeight="1" thickBot="1" x14ac:dyDescent="0.3">
      <c r="A226" s="271">
        <v>217</v>
      </c>
      <c r="B226" s="1105" t="s">
        <v>4254</v>
      </c>
      <c r="C226" s="1105"/>
      <c r="D226" s="1105"/>
      <c r="E226" s="1105"/>
      <c r="F226" s="1105"/>
      <c r="G226" s="1106"/>
      <c r="H226" s="838" t="str">
        <f t="shared" si="6"/>
        <v>Il faut garder les recettes végétales qui plaisent, qui ne font pas trop de gaspillage, qui coûtent correctement et qui sont claires côté allergènes.</v>
      </c>
      <c r="I226" s="838"/>
      <c r="J226" s="838"/>
      <c r="K226" s="838"/>
      <c r="L226" s="838"/>
      <c r="M226" s="838"/>
      <c r="N226" s="838"/>
      <c r="O226" s="838"/>
      <c r="P226" s="838"/>
      <c r="Q226" s="838"/>
      <c r="R226" s="838"/>
      <c r="S226" s="838"/>
      <c r="T226" s="838"/>
      <c r="U226" s="838"/>
      <c r="V226" s="838"/>
      <c r="W226" s="839"/>
    </row>
    <row r="227" spans="1:23" ht="30" customHeight="1" thickBot="1" x14ac:dyDescent="0.3">
      <c r="A227" s="271">
        <v>218</v>
      </c>
      <c r="B227" s="1105" t="s">
        <v>4097</v>
      </c>
      <c r="C227" s="1105"/>
      <c r="D227" s="1105"/>
      <c r="E227" s="1105"/>
      <c r="F227" s="1105"/>
      <c r="G227" s="1106"/>
      <c r="H227" s="838" t="str">
        <f t="shared" si="6"/>
        <v>Il faut mètre plus de sauce avec les pois chiche.</v>
      </c>
      <c r="I227" s="838"/>
      <c r="J227" s="838"/>
      <c r="K227" s="838"/>
      <c r="L227" s="838"/>
      <c r="M227" s="838"/>
      <c r="N227" s="838"/>
      <c r="O227" s="838"/>
      <c r="P227" s="838"/>
      <c r="Q227" s="838"/>
      <c r="R227" s="838"/>
      <c r="S227" s="838"/>
      <c r="T227" s="838"/>
      <c r="U227" s="838"/>
      <c r="V227" s="838"/>
      <c r="W227" s="839"/>
    </row>
    <row r="228" spans="1:23" ht="30" customHeight="1" thickBot="1" x14ac:dyDescent="0.3">
      <c r="A228" s="271">
        <v>219</v>
      </c>
      <c r="B228" s="1105" t="s">
        <v>4258</v>
      </c>
      <c r="C228" s="1105"/>
      <c r="D228" s="1105"/>
      <c r="E228" s="1105"/>
      <c r="F228" s="1105"/>
      <c r="G228" s="1106"/>
      <c r="H228" s="838" t="str">
        <f t="shared" si="6"/>
        <v>Il faut présenter le plat végétal de façon positive, sans faire la morale et sans opposer ceux qui mangent de la viande aux autres.</v>
      </c>
      <c r="I228" s="838"/>
      <c r="J228" s="838"/>
      <c r="K228" s="838"/>
      <c r="L228" s="838"/>
      <c r="M228" s="838"/>
      <c r="N228" s="838"/>
      <c r="O228" s="838"/>
      <c r="P228" s="838"/>
      <c r="Q228" s="838"/>
      <c r="R228" s="838"/>
      <c r="S228" s="838"/>
      <c r="T228" s="838"/>
      <c r="U228" s="838"/>
      <c r="V228" s="838"/>
      <c r="W228" s="839"/>
    </row>
    <row r="229" spans="1:23" ht="30" customHeight="1" thickBot="1" x14ac:dyDescent="0.3">
      <c r="A229" s="271">
        <v>220</v>
      </c>
      <c r="B229" s="1105" t="s">
        <v>4317</v>
      </c>
      <c r="C229" s="1105"/>
      <c r="D229" s="1105"/>
      <c r="E229" s="1105"/>
      <c r="F229" s="1105"/>
      <c r="G229" s="1106"/>
      <c r="H229" s="838" t="str">
        <f t="shared" si="6"/>
        <v>Il faut prévoir plusieurs recettes de légumineuses dans la semaine, mais pas toujours la même couleur ni la même sauce.</v>
      </c>
      <c r="I229" s="838"/>
      <c r="J229" s="838"/>
      <c r="K229" s="838"/>
      <c r="L229" s="838"/>
      <c r="M229" s="838"/>
      <c r="N229" s="838"/>
      <c r="O229" s="838"/>
      <c r="P229" s="838"/>
      <c r="Q229" s="838"/>
      <c r="R229" s="838"/>
      <c r="S229" s="838"/>
      <c r="T229" s="838"/>
      <c r="U229" s="838"/>
      <c r="V229" s="838"/>
      <c r="W229" s="839"/>
    </row>
    <row r="230" spans="1:23" ht="30" customHeight="1" thickBot="1" x14ac:dyDescent="0.3">
      <c r="A230" s="271">
        <v>221</v>
      </c>
      <c r="B230" s="1105" t="s">
        <v>4287</v>
      </c>
      <c r="C230" s="1105"/>
      <c r="D230" s="1105"/>
      <c r="E230" s="1105"/>
      <c r="F230" s="1105"/>
      <c r="G230" s="1106"/>
      <c r="H230" s="838" t="str">
        <f t="shared" si="6"/>
        <v>Il faut regarder la couleur, l’odeur, le moelleux, la sauce, le goût et si les élèves comprennent le plat.</v>
      </c>
      <c r="I230" s="838"/>
      <c r="J230" s="838"/>
      <c r="K230" s="838"/>
      <c r="L230" s="838"/>
      <c r="M230" s="838"/>
      <c r="N230" s="838"/>
      <c r="O230" s="838"/>
      <c r="P230" s="838"/>
      <c r="Q230" s="838"/>
      <c r="R230" s="838"/>
      <c r="S230" s="838"/>
      <c r="T230" s="838"/>
      <c r="U230" s="838"/>
      <c r="V230" s="838"/>
      <c r="W230" s="839"/>
    </row>
    <row r="231" spans="1:23" ht="30" customHeight="1" thickBot="1" x14ac:dyDescent="0.3">
      <c r="A231" s="271">
        <v>222</v>
      </c>
      <c r="B231" s="1105" t="s">
        <v>4207</v>
      </c>
      <c r="C231" s="1105"/>
      <c r="D231" s="1105"/>
      <c r="E231" s="1105"/>
      <c r="F231" s="1105"/>
      <c r="G231" s="1106"/>
      <c r="H231" s="838" t="str">
        <f t="shared" si="6"/>
        <v>Il faut regarder le prix de la portion, mais aussi ce qui revient dans les assiettes.</v>
      </c>
      <c r="I231" s="838"/>
      <c r="J231" s="838"/>
      <c r="K231" s="838"/>
      <c r="L231" s="838"/>
      <c r="M231" s="838"/>
      <c r="N231" s="838"/>
      <c r="O231" s="838"/>
      <c r="P231" s="838"/>
      <c r="Q231" s="838"/>
      <c r="R231" s="838"/>
      <c r="S231" s="838"/>
      <c r="T231" s="838"/>
      <c r="U231" s="838"/>
      <c r="V231" s="838"/>
      <c r="W231" s="839"/>
    </row>
    <row r="232" spans="1:23" ht="30" customHeight="1" thickBot="1" x14ac:dyDescent="0.3">
      <c r="A232" s="271">
        <v>223</v>
      </c>
      <c r="B232" s="1105" t="s">
        <v>4154</v>
      </c>
      <c r="C232" s="1105"/>
      <c r="D232" s="1105"/>
      <c r="E232" s="1105"/>
      <c r="F232" s="1105"/>
      <c r="G232" s="1106"/>
      <c r="H232" s="838" t="str">
        <f t="shared" si="6"/>
        <v>Il faut tester le plat avant de le mettre souvent au menu, sinon on risque d’avoir beaucoup de gaspillage.</v>
      </c>
      <c r="I232" s="838"/>
      <c r="J232" s="838"/>
      <c r="K232" s="838"/>
      <c r="L232" s="838"/>
      <c r="M232" s="838"/>
      <c r="N232" s="838"/>
      <c r="O232" s="838"/>
      <c r="P232" s="838"/>
      <c r="Q232" s="838"/>
      <c r="R232" s="838"/>
      <c r="S232" s="838"/>
      <c r="T232" s="838"/>
      <c r="U232" s="838"/>
      <c r="V232" s="838"/>
      <c r="W232" s="839"/>
    </row>
    <row r="233" spans="1:23" ht="30" customHeight="1" thickBot="1" x14ac:dyDescent="0.3">
      <c r="A233" s="271">
        <v>224</v>
      </c>
      <c r="B233" s="1105" t="s">
        <v>4311</v>
      </c>
      <c r="C233" s="1105"/>
      <c r="D233" s="1105"/>
      <c r="E233" s="1105"/>
      <c r="F233" s="1105"/>
      <c r="G233" s="1106"/>
      <c r="H233" s="838" t="str">
        <f t="shared" si="6"/>
        <v>Il faut varier les lentilles, pois chiches, haricots, fèves et pois cassés pour éviter que les élèves se lassent.</v>
      </c>
      <c r="I233" s="838"/>
      <c r="J233" s="838"/>
      <c r="K233" s="838"/>
      <c r="L233" s="838"/>
      <c r="M233" s="838"/>
      <c r="N233" s="838"/>
      <c r="O233" s="838"/>
      <c r="P233" s="838"/>
      <c r="Q233" s="838"/>
      <c r="R233" s="838"/>
      <c r="S233" s="838"/>
      <c r="T233" s="838"/>
      <c r="U233" s="838"/>
      <c r="V233" s="838"/>
      <c r="W233" s="839"/>
    </row>
    <row r="234" spans="1:23" ht="30" customHeight="1" thickBot="1" x14ac:dyDescent="0.3">
      <c r="A234" s="271">
        <v>225</v>
      </c>
      <c r="B234" s="1105" t="s">
        <v>4305</v>
      </c>
      <c r="C234" s="1105"/>
      <c r="D234" s="1105"/>
      <c r="E234" s="1105"/>
      <c r="F234" s="1105"/>
      <c r="G234" s="1106"/>
      <c r="H234" s="838" t="str">
        <f t="shared" si="6"/>
        <v>Il ne faut pas enlever la viande d’un coup sans proposer une vraie recette claire et bien cuisinée.</v>
      </c>
      <c r="I234" s="838"/>
      <c r="J234" s="838"/>
      <c r="K234" s="838"/>
      <c r="L234" s="838"/>
      <c r="M234" s="838"/>
      <c r="N234" s="838"/>
      <c r="O234" s="838"/>
      <c r="P234" s="838"/>
      <c r="Q234" s="838"/>
      <c r="R234" s="838"/>
      <c r="S234" s="838"/>
      <c r="T234" s="838"/>
      <c r="U234" s="838"/>
      <c r="V234" s="838"/>
      <c r="W234" s="839"/>
    </row>
    <row r="235" spans="1:23" ht="30" customHeight="1" thickBot="1" x14ac:dyDescent="0.3">
      <c r="A235" s="271">
        <v>226</v>
      </c>
      <c r="B235" s="1105" t="s">
        <v>4067</v>
      </c>
      <c r="C235" s="1105"/>
      <c r="D235" s="1105"/>
      <c r="E235" s="1105"/>
      <c r="F235" s="1105"/>
      <c r="G235" s="1106"/>
      <c r="H235" s="838" t="str">
        <f t="shared" si="6"/>
        <v>Il ne faut pas juste enlever la viande, il faut faire une vraie recette.</v>
      </c>
      <c r="I235" s="838"/>
      <c r="J235" s="838"/>
      <c r="K235" s="838"/>
      <c r="L235" s="838"/>
      <c r="M235" s="838"/>
      <c r="N235" s="838"/>
      <c r="O235" s="838"/>
      <c r="P235" s="838"/>
      <c r="Q235" s="838"/>
      <c r="R235" s="838"/>
      <c r="S235" s="838"/>
      <c r="T235" s="838"/>
      <c r="U235" s="838"/>
      <c r="V235" s="838"/>
      <c r="W235" s="839"/>
    </row>
    <row r="236" spans="1:23" ht="30" customHeight="1" thickBot="1" x14ac:dyDescent="0.3">
      <c r="A236" s="271">
        <v>227</v>
      </c>
      <c r="B236" s="1105" t="s">
        <v>4310</v>
      </c>
      <c r="C236" s="1105"/>
      <c r="D236" s="1105"/>
      <c r="E236" s="1105"/>
      <c r="F236" s="1105"/>
      <c r="G236" s="1106"/>
      <c r="H236" s="838" t="str">
        <f t="shared" si="6"/>
        <v>Il ne faut pas mettre deux plats végétaux secs dans la même semaine. Il vaut mieux varier avec gratin, soupe, mijoté ou plat en sauce.</v>
      </c>
      <c r="I236" s="838"/>
      <c r="J236" s="838"/>
      <c r="K236" s="838"/>
      <c r="L236" s="838"/>
      <c r="M236" s="838"/>
      <c r="N236" s="838"/>
      <c r="O236" s="838"/>
      <c r="P236" s="838"/>
      <c r="Q236" s="838"/>
      <c r="R236" s="838"/>
      <c r="S236" s="838"/>
      <c r="T236" s="838"/>
      <c r="U236" s="838"/>
      <c r="V236" s="838"/>
      <c r="W236" s="839"/>
    </row>
    <row r="237" spans="1:23" ht="30" customHeight="1" thickBot="1" x14ac:dyDescent="0.3">
      <c r="A237" s="271">
        <v>228</v>
      </c>
      <c r="B237" s="1105" t="s">
        <v>4342</v>
      </c>
      <c r="C237" s="1105"/>
      <c r="D237" s="1105"/>
      <c r="E237" s="1105"/>
      <c r="F237" s="1105"/>
      <c r="G237" s="1106"/>
      <c r="H237" s="838" t="str">
        <f t="shared" si="6"/>
        <v>Il ne faut pas mettre tofu, tempeh et seitan la même semaine, car les élèves peuvent être perdus ou refuser.</v>
      </c>
      <c r="I237" s="838"/>
      <c r="J237" s="838"/>
      <c r="K237" s="838"/>
      <c r="L237" s="838"/>
      <c r="M237" s="838"/>
      <c r="N237" s="838"/>
      <c r="O237" s="838"/>
      <c r="P237" s="838"/>
      <c r="Q237" s="838"/>
      <c r="R237" s="838"/>
      <c r="S237" s="838"/>
      <c r="T237" s="838"/>
      <c r="U237" s="838"/>
      <c r="V237" s="838"/>
      <c r="W237" s="839"/>
    </row>
    <row r="238" spans="1:23" ht="30" customHeight="1" thickBot="1" x14ac:dyDescent="0.3">
      <c r="A238" s="271">
        <v>229</v>
      </c>
      <c r="B238" s="1105" t="s">
        <v>4319</v>
      </c>
      <c r="C238" s="1105"/>
      <c r="D238" s="1105"/>
      <c r="E238" s="1105"/>
      <c r="F238" s="1105"/>
      <c r="G238" s="1106"/>
      <c r="H238" s="838" t="str">
        <f t="shared" si="6"/>
        <v>Il vaut mieux choisir quelques recettes végétales qui marchent bien avant d’essayer des produits plus difficiles comme le tempeh ou le lupin.</v>
      </c>
      <c r="I238" s="838"/>
      <c r="J238" s="838"/>
      <c r="K238" s="838"/>
      <c r="L238" s="838"/>
      <c r="M238" s="838"/>
      <c r="N238" s="838"/>
      <c r="O238" s="838"/>
      <c r="P238" s="838"/>
      <c r="Q238" s="838"/>
      <c r="R238" s="838"/>
      <c r="S238" s="838"/>
      <c r="T238" s="838"/>
      <c r="U238" s="838"/>
      <c r="V238" s="838"/>
      <c r="W238" s="839"/>
    </row>
    <row r="239" spans="1:23" ht="30" customHeight="1" thickBot="1" x14ac:dyDescent="0.3">
      <c r="A239" s="271">
        <v>230</v>
      </c>
      <c r="B239" s="1105" t="s">
        <v>3414</v>
      </c>
      <c r="C239" s="1105"/>
      <c r="D239" s="1105"/>
      <c r="E239" s="1105"/>
      <c r="F239" s="1105"/>
      <c r="G239" s="1106"/>
      <c r="H239" s="838" t="str">
        <f t="shared" si="6"/>
        <v>Il vaut mieux dire lentilles cuisinées à la tomate que seulement plat sans viande.</v>
      </c>
      <c r="I239" s="838"/>
      <c r="J239" s="838"/>
      <c r="K239" s="838"/>
      <c r="L239" s="838"/>
      <c r="M239" s="838"/>
      <c r="N239" s="838"/>
      <c r="O239" s="838"/>
      <c r="P239" s="838"/>
      <c r="Q239" s="838"/>
      <c r="R239" s="838"/>
      <c r="S239" s="838"/>
      <c r="T239" s="838"/>
      <c r="U239" s="838"/>
      <c r="V239" s="838"/>
      <c r="W239" s="839"/>
    </row>
    <row r="240" spans="1:23" ht="30" customHeight="1" thickBot="1" x14ac:dyDescent="0.3">
      <c r="A240" s="271">
        <v>231</v>
      </c>
      <c r="B240" s="1105" t="s">
        <v>4325</v>
      </c>
      <c r="C240" s="1105"/>
      <c r="D240" s="1105"/>
      <c r="E240" s="1105"/>
      <c r="F240" s="1105"/>
      <c r="G240" s="1106"/>
      <c r="H240" s="838" t="str">
        <f t="shared" si="6"/>
        <v>Il vaut mieux écrire curry doux de lentilles plutôt que plat végétal, car le nom donne plus envie.</v>
      </c>
      <c r="I240" s="838"/>
      <c r="J240" s="838"/>
      <c r="K240" s="838"/>
      <c r="L240" s="838"/>
      <c r="M240" s="838"/>
      <c r="N240" s="838"/>
      <c r="O240" s="838"/>
      <c r="P240" s="838"/>
      <c r="Q240" s="838"/>
      <c r="R240" s="838"/>
      <c r="S240" s="838"/>
      <c r="T240" s="838"/>
      <c r="U240" s="838"/>
      <c r="V240" s="838"/>
      <c r="W240" s="839"/>
    </row>
    <row r="241" spans="1:23" ht="30" customHeight="1" thickBot="1" x14ac:dyDescent="0.3">
      <c r="A241" s="271">
        <v>232</v>
      </c>
      <c r="B241" s="1105" t="s">
        <v>3996</v>
      </c>
      <c r="C241" s="1105"/>
      <c r="D241" s="1105"/>
      <c r="E241" s="1105"/>
      <c r="F241" s="1105"/>
      <c r="G241" s="1106"/>
      <c r="H241" s="838" t="str">
        <f t="shared" si="6"/>
        <v>Il y avait trop de restes dans les assiettes.</v>
      </c>
      <c r="I241" s="838"/>
      <c r="J241" s="838"/>
      <c r="K241" s="838"/>
      <c r="L241" s="838"/>
      <c r="M241" s="838"/>
      <c r="N241" s="838"/>
      <c r="O241" s="838"/>
      <c r="P241" s="838"/>
      <c r="Q241" s="838"/>
      <c r="R241" s="838"/>
      <c r="S241" s="838"/>
      <c r="T241" s="838"/>
      <c r="U241" s="838"/>
      <c r="V241" s="838"/>
      <c r="W241" s="839"/>
    </row>
    <row r="242" spans="1:23" ht="30" customHeight="1" thickBot="1" x14ac:dyDescent="0.3">
      <c r="A242" s="271">
        <v>233</v>
      </c>
      <c r="B242" s="1105" t="s">
        <v>4203</v>
      </c>
      <c r="C242" s="1105"/>
      <c r="D242" s="1105"/>
      <c r="E242" s="1105"/>
      <c r="F242" s="1105"/>
      <c r="G242" s="1106"/>
      <c r="H242" s="838" t="str">
        <f t="shared" si="6"/>
        <v>La bolognaise aux lentilles a bien marché parce que le plat était connu.</v>
      </c>
      <c r="I242" s="838"/>
      <c r="J242" s="838"/>
      <c r="K242" s="838"/>
      <c r="L242" s="838"/>
      <c r="M242" s="838"/>
      <c r="N242" s="838"/>
      <c r="O242" s="838"/>
      <c r="P242" s="838"/>
      <c r="Q242" s="838"/>
      <c r="R242" s="838"/>
      <c r="S242" s="838"/>
      <c r="T242" s="838"/>
      <c r="U242" s="838"/>
      <c r="V242" s="838"/>
      <c r="W242" s="839"/>
    </row>
    <row r="243" spans="1:23" ht="30" customHeight="1" thickBot="1" x14ac:dyDescent="0.3">
      <c r="A243" s="271">
        <v>234</v>
      </c>
      <c r="B243" s="1105" t="s">
        <v>3234</v>
      </c>
      <c r="C243" s="1105"/>
      <c r="D243" s="1105"/>
      <c r="E243" s="1105"/>
      <c r="F243" s="1105"/>
      <c r="G243" s="1106"/>
      <c r="H243" s="838" t="str">
        <f t="shared" si="6"/>
        <v>La bolognaise aux lentilles a un bon prix mais le temps de préparation est long et le goût doit être renforcé.</v>
      </c>
      <c r="I243" s="838"/>
      <c r="J243" s="838"/>
      <c r="K243" s="838"/>
      <c r="L243" s="838"/>
      <c r="M243" s="838"/>
      <c r="N243" s="838"/>
      <c r="O243" s="838"/>
      <c r="P243" s="838"/>
      <c r="Q243" s="838"/>
      <c r="R243" s="838"/>
      <c r="S243" s="838"/>
      <c r="T243" s="838"/>
      <c r="U243" s="838"/>
      <c r="V243" s="838"/>
      <c r="W243" s="839"/>
    </row>
    <row r="244" spans="1:23" ht="30" customHeight="1" thickBot="1" x14ac:dyDescent="0.3">
      <c r="A244" s="271">
        <v>235</v>
      </c>
      <c r="B244" s="1105" t="s">
        <v>4255</v>
      </c>
      <c r="C244" s="1105"/>
      <c r="D244" s="1105"/>
      <c r="E244" s="1105"/>
      <c r="F244" s="1105"/>
      <c r="G244" s="1106"/>
      <c r="H244" s="838" t="str">
        <f t="shared" si="6"/>
        <v>La bolognaise aux lentilles coûte moins cher, mais elle demande du temps et il faut renforcer le goût pour que les élèves aiment.</v>
      </c>
      <c r="I244" s="838"/>
      <c r="J244" s="838"/>
      <c r="K244" s="838"/>
      <c r="L244" s="838"/>
      <c r="M244" s="838"/>
      <c r="N244" s="838"/>
      <c r="O244" s="838"/>
      <c r="P244" s="838"/>
      <c r="Q244" s="838"/>
      <c r="R244" s="838"/>
      <c r="S244" s="838"/>
      <c r="T244" s="838"/>
      <c r="U244" s="838"/>
      <c r="V244" s="838"/>
      <c r="W244" s="839"/>
    </row>
    <row r="245" spans="1:23" ht="30" customHeight="1" thickBot="1" x14ac:dyDescent="0.3">
      <c r="A245" s="271">
        <v>236</v>
      </c>
      <c r="B245" s="1105" t="s">
        <v>4044</v>
      </c>
      <c r="C245" s="1105"/>
      <c r="D245" s="1105"/>
      <c r="E245" s="1105"/>
      <c r="F245" s="1105"/>
      <c r="G245" s="1106"/>
      <c r="H245" s="838" t="str">
        <f t="shared" si="6"/>
        <v>La bolognaise avec des lentilles peut marcher si on garde une bonne sauce tomate.</v>
      </c>
      <c r="I245" s="838"/>
      <c r="J245" s="838"/>
      <c r="K245" s="838"/>
      <c r="L245" s="838"/>
      <c r="M245" s="838"/>
      <c r="N245" s="838"/>
      <c r="O245" s="838"/>
      <c r="P245" s="838"/>
      <c r="Q245" s="838"/>
      <c r="R245" s="838"/>
      <c r="S245" s="838"/>
      <c r="T245" s="838"/>
      <c r="U245" s="838"/>
      <c r="V245" s="838"/>
      <c r="W245" s="839"/>
    </row>
    <row r="246" spans="1:23" ht="30" customHeight="1" thickBot="1" x14ac:dyDescent="0.3">
      <c r="A246" s="271">
        <v>237</v>
      </c>
      <c r="B246" s="1105" t="s">
        <v>3388</v>
      </c>
      <c r="C246" s="1105"/>
      <c r="D246" s="1105"/>
      <c r="E246" s="1105"/>
      <c r="F246" s="1105"/>
      <c r="G246" s="1106"/>
      <c r="H246" s="838" t="str">
        <f t="shared" si="6"/>
        <v>La chapelure peut donner du croustillant mais elle peut contenir du gluten.</v>
      </c>
      <c r="I246" s="838"/>
      <c r="J246" s="838"/>
      <c r="K246" s="838"/>
      <c r="L246" s="838"/>
      <c r="M246" s="838"/>
      <c r="N246" s="838"/>
      <c r="O246" s="838"/>
      <c r="P246" s="838"/>
      <c r="Q246" s="838"/>
      <c r="R246" s="838"/>
      <c r="S246" s="838"/>
      <c r="T246" s="838"/>
      <c r="U246" s="838"/>
      <c r="V246" s="838"/>
      <c r="W246" s="839"/>
    </row>
    <row r="247" spans="1:23" ht="30" customHeight="1" thickBot="1" x14ac:dyDescent="0.3">
      <c r="A247" s="271">
        <v>238</v>
      </c>
      <c r="B247" s="1105" t="s">
        <v>3438</v>
      </c>
      <c r="C247" s="1105"/>
      <c r="D247" s="1105"/>
      <c r="E247" s="1105"/>
      <c r="F247" s="1105"/>
      <c r="G247" s="1106"/>
      <c r="H247" s="838" t="str">
        <f t="shared" si="6"/>
        <v>La communication au self doit rester simple, positive et concrète.</v>
      </c>
      <c r="I247" s="838"/>
      <c r="J247" s="838"/>
      <c r="K247" s="838"/>
      <c r="L247" s="838"/>
      <c r="M247" s="838"/>
      <c r="N247" s="838"/>
      <c r="O247" s="838"/>
      <c r="P247" s="838"/>
      <c r="Q247" s="838"/>
      <c r="R247" s="838"/>
      <c r="S247" s="838"/>
      <c r="T247" s="838"/>
      <c r="U247" s="838"/>
      <c r="V247" s="838"/>
      <c r="W247" s="839"/>
    </row>
    <row r="248" spans="1:23" ht="30" customHeight="1" thickBot="1" x14ac:dyDescent="0.3">
      <c r="A248" s="271">
        <v>239</v>
      </c>
      <c r="B248" s="1105" t="s">
        <v>4060</v>
      </c>
      <c r="C248" s="1105"/>
      <c r="D248" s="1105"/>
      <c r="E248" s="1105"/>
      <c r="F248" s="1105"/>
      <c r="G248" s="1106"/>
      <c r="H248" s="838" t="str">
        <f t="shared" ref="H248:H311" si="7">B248</f>
        <v>La couleur du plat était triste, ça ne donnait pas envie de goûter.</v>
      </c>
      <c r="I248" s="838"/>
      <c r="J248" s="838"/>
      <c r="K248" s="838"/>
      <c r="L248" s="838"/>
      <c r="M248" s="838"/>
      <c r="N248" s="838"/>
      <c r="O248" s="838"/>
      <c r="P248" s="838"/>
      <c r="Q248" s="838"/>
      <c r="R248" s="838"/>
      <c r="S248" s="838"/>
      <c r="T248" s="838"/>
      <c r="U248" s="838"/>
      <c r="V248" s="838"/>
      <c r="W248" s="839"/>
    </row>
    <row r="249" spans="1:23" ht="30" customHeight="1" thickBot="1" x14ac:dyDescent="0.3">
      <c r="A249" s="271">
        <v>240</v>
      </c>
      <c r="B249" s="1105" t="s">
        <v>3237</v>
      </c>
      <c r="C249" s="1105"/>
      <c r="D249" s="1105"/>
      <c r="E249" s="1105"/>
      <c r="F249" s="1105"/>
      <c r="G249" s="1106"/>
      <c r="H249" s="838" t="str">
        <f t="shared" si="7"/>
        <v>La féverole locale coûte plus cher mais permet une recette végétale différente avec une sauce travaillée.</v>
      </c>
      <c r="I249" s="838"/>
      <c r="J249" s="838"/>
      <c r="K249" s="838"/>
      <c r="L249" s="838"/>
      <c r="M249" s="838"/>
      <c r="N249" s="838"/>
      <c r="O249" s="838"/>
      <c r="P249" s="838"/>
      <c r="Q249" s="838"/>
      <c r="R249" s="838"/>
      <c r="S249" s="838"/>
      <c r="T249" s="838"/>
      <c r="U249" s="838"/>
      <c r="V249" s="838"/>
      <c r="W249" s="839"/>
    </row>
    <row r="250" spans="1:23" ht="30" customHeight="1" thickBot="1" x14ac:dyDescent="0.3">
      <c r="A250" s="271">
        <v>241</v>
      </c>
      <c r="B250" s="1105" t="s">
        <v>4247</v>
      </c>
      <c r="C250" s="1105"/>
      <c r="D250" s="1105"/>
      <c r="E250" s="1105"/>
      <c r="F250" s="1105"/>
      <c r="G250" s="1106"/>
      <c r="H250" s="838" t="str">
        <f t="shared" si="7"/>
        <v>La féverole locale peut être une bonne idée, mais il faut tester la texture, le goût et voir si les élèves acceptent.</v>
      </c>
      <c r="I250" s="838"/>
      <c r="J250" s="838"/>
      <c r="K250" s="838"/>
      <c r="L250" s="838"/>
      <c r="M250" s="838"/>
      <c r="N250" s="838"/>
      <c r="O250" s="838"/>
      <c r="P250" s="838"/>
      <c r="Q250" s="838"/>
      <c r="R250" s="838"/>
      <c r="S250" s="838"/>
      <c r="T250" s="838"/>
      <c r="U250" s="838"/>
      <c r="V250" s="838"/>
      <c r="W250" s="839"/>
    </row>
    <row r="251" spans="1:23" ht="30" customHeight="1" thickBot="1" x14ac:dyDescent="0.3">
      <c r="A251" s="271">
        <v>242</v>
      </c>
      <c r="B251" s="1105" t="s">
        <v>4047</v>
      </c>
      <c r="C251" s="1105"/>
      <c r="D251" s="1105"/>
      <c r="E251" s="1105"/>
      <c r="F251" s="1105"/>
      <c r="G251" s="1106"/>
      <c r="H251" s="838" t="str">
        <f t="shared" si="7"/>
        <v>La galette végétale se cassait dans l’assiette.</v>
      </c>
      <c r="I251" s="838"/>
      <c r="J251" s="838"/>
      <c r="K251" s="838"/>
      <c r="L251" s="838"/>
      <c r="M251" s="838"/>
      <c r="N251" s="838"/>
      <c r="O251" s="838"/>
      <c r="P251" s="838"/>
      <c r="Q251" s="838"/>
      <c r="R251" s="838"/>
      <c r="S251" s="838"/>
      <c r="T251" s="838"/>
      <c r="U251" s="838"/>
      <c r="V251" s="838"/>
      <c r="W251" s="839"/>
    </row>
    <row r="252" spans="1:23" ht="30" customHeight="1" thickBot="1" x14ac:dyDescent="0.3">
      <c r="A252" s="271">
        <v>243</v>
      </c>
      <c r="B252" s="1105" t="s">
        <v>3424</v>
      </c>
      <c r="C252" s="1105"/>
      <c r="D252" s="1105"/>
      <c r="E252" s="1105"/>
      <c r="F252" s="1105"/>
      <c r="G252" s="1106"/>
      <c r="H252" s="838" t="str">
        <f t="shared" si="7"/>
        <v>La même légumineuse peut être mieux acceptée en sauce qu’en salade sèche.</v>
      </c>
      <c r="I252" s="838"/>
      <c r="J252" s="838"/>
      <c r="K252" s="838"/>
      <c r="L252" s="838"/>
      <c r="M252" s="838"/>
      <c r="N252" s="838"/>
      <c r="O252" s="838"/>
      <c r="P252" s="838"/>
      <c r="Q252" s="838"/>
      <c r="R252" s="838"/>
      <c r="S252" s="838"/>
      <c r="T252" s="838"/>
      <c r="U252" s="838"/>
      <c r="V252" s="838"/>
      <c r="W252" s="839"/>
    </row>
    <row r="253" spans="1:23" ht="30" customHeight="1" thickBot="1" x14ac:dyDescent="0.3">
      <c r="A253" s="271">
        <v>244</v>
      </c>
      <c r="B253" s="1105" t="s">
        <v>3442</v>
      </c>
      <c r="C253" s="1105"/>
      <c r="D253" s="1105"/>
      <c r="E253" s="1105"/>
      <c r="F253" s="1105"/>
      <c r="G253" s="1106"/>
      <c r="H253" s="838" t="str">
        <f t="shared" si="7"/>
        <v>La priorité est de faire un plat végétal agréable à manger.</v>
      </c>
      <c r="I253" s="838"/>
      <c r="J253" s="838"/>
      <c r="K253" s="838"/>
      <c r="L253" s="838"/>
      <c r="M253" s="838"/>
      <c r="N253" s="838"/>
      <c r="O253" s="838"/>
      <c r="P253" s="838"/>
      <c r="Q253" s="838"/>
      <c r="R253" s="838"/>
      <c r="S253" s="838"/>
      <c r="T253" s="838"/>
      <c r="U253" s="838"/>
      <c r="V253" s="838"/>
      <c r="W253" s="839"/>
    </row>
    <row r="254" spans="1:23" ht="30" customHeight="1" thickBot="1" x14ac:dyDescent="0.3">
      <c r="A254" s="271">
        <v>245</v>
      </c>
      <c r="B254" s="1105" t="s">
        <v>3243</v>
      </c>
      <c r="C254" s="1105"/>
      <c r="D254" s="1105"/>
      <c r="E254" s="1105"/>
      <c r="F254" s="1105"/>
      <c r="G254" s="1106"/>
      <c r="H254" s="838" t="str">
        <f t="shared" si="7"/>
        <v>La recette aux lentilles est meilleure avec plus de sauce, un assaisonnement plus net et une texture moins sèche.</v>
      </c>
      <c r="I254" s="838"/>
      <c r="J254" s="838"/>
      <c r="K254" s="838"/>
      <c r="L254" s="838"/>
      <c r="M254" s="838"/>
      <c r="N254" s="838"/>
      <c r="O254" s="838"/>
      <c r="P254" s="838"/>
      <c r="Q254" s="838"/>
      <c r="R254" s="838"/>
      <c r="S254" s="838"/>
      <c r="T254" s="838"/>
      <c r="U254" s="838"/>
      <c r="V254" s="838"/>
      <c r="W254" s="839"/>
    </row>
    <row r="255" spans="1:23" ht="30" customHeight="1" thickBot="1" x14ac:dyDescent="0.3">
      <c r="A255" s="271">
        <v>246</v>
      </c>
      <c r="B255" s="1105" t="s">
        <v>4214</v>
      </c>
      <c r="C255" s="1105"/>
      <c r="D255" s="1105"/>
      <c r="E255" s="1105"/>
      <c r="F255" s="1105"/>
      <c r="G255" s="1106"/>
      <c r="H255" s="838" t="str">
        <f t="shared" si="7"/>
        <v>La recette doit tenir au chaud sans devenir sèche.</v>
      </c>
      <c r="I255" s="838"/>
      <c r="J255" s="838"/>
      <c r="K255" s="838"/>
      <c r="L255" s="838"/>
      <c r="M255" s="838"/>
      <c r="N255" s="838"/>
      <c r="O255" s="838"/>
      <c r="P255" s="838"/>
      <c r="Q255" s="838"/>
      <c r="R255" s="838"/>
      <c r="S255" s="838"/>
      <c r="T255" s="838"/>
      <c r="U255" s="838"/>
      <c r="V255" s="838"/>
      <c r="W255" s="839"/>
    </row>
    <row r="256" spans="1:23" ht="30" customHeight="1" thickBot="1" x14ac:dyDescent="0.3">
      <c r="A256" s="271">
        <v>247</v>
      </c>
      <c r="B256" s="1105" t="s">
        <v>4151</v>
      </c>
      <c r="C256" s="1105"/>
      <c r="D256" s="1105"/>
      <c r="E256" s="1105"/>
      <c r="F256" s="1105"/>
      <c r="G256" s="1106"/>
      <c r="H256" s="838" t="str">
        <f t="shared" si="7"/>
        <v>La recette végétale peut marcher si elle ressemble à un plat connu comme chili, couscous ou bolognaise.</v>
      </c>
      <c r="I256" s="838"/>
      <c r="J256" s="838"/>
      <c r="K256" s="838"/>
      <c r="L256" s="838"/>
      <c r="M256" s="838"/>
      <c r="N256" s="838"/>
      <c r="O256" s="838"/>
      <c r="P256" s="838"/>
      <c r="Q256" s="838"/>
      <c r="R256" s="838"/>
      <c r="S256" s="838"/>
      <c r="T256" s="838"/>
      <c r="U256" s="838"/>
      <c r="V256" s="838"/>
      <c r="W256" s="839"/>
    </row>
    <row r="257" spans="1:23" ht="30" customHeight="1" thickBot="1" x14ac:dyDescent="0.3">
      <c r="A257" s="271">
        <v>248</v>
      </c>
      <c r="B257" s="1105" t="s">
        <v>3286</v>
      </c>
      <c r="C257" s="1105"/>
      <c r="D257" s="1105"/>
      <c r="E257" s="1105"/>
      <c r="F257" s="1105"/>
      <c r="G257" s="1106"/>
      <c r="H257" s="838" t="str">
        <f t="shared" si="7"/>
        <v>La sauce est importante parce que les légumineuses absorbent du liquide pendant l’attente au chaud.</v>
      </c>
      <c r="I257" s="838"/>
      <c r="J257" s="838"/>
      <c r="K257" s="838"/>
      <c r="L257" s="838"/>
      <c r="M257" s="838"/>
      <c r="N257" s="838"/>
      <c r="O257" s="838"/>
      <c r="P257" s="838"/>
      <c r="Q257" s="838"/>
      <c r="R257" s="838"/>
      <c r="S257" s="838"/>
      <c r="T257" s="838"/>
      <c r="U257" s="838"/>
      <c r="V257" s="838"/>
      <c r="W257" s="839"/>
    </row>
    <row r="258" spans="1:23" ht="30" customHeight="1" thickBot="1" x14ac:dyDescent="0.3">
      <c r="A258" s="271">
        <v>249</v>
      </c>
      <c r="B258" s="1105" t="s">
        <v>4194</v>
      </c>
      <c r="C258" s="1105"/>
      <c r="D258" s="1105"/>
      <c r="E258" s="1105"/>
      <c r="F258" s="1105"/>
      <c r="G258" s="1106"/>
      <c r="H258" s="838" t="str">
        <f t="shared" si="7"/>
        <v>La sauce était bonne et le plat était moins sec.</v>
      </c>
      <c r="I258" s="838"/>
      <c r="J258" s="838"/>
      <c r="K258" s="838"/>
      <c r="L258" s="838"/>
      <c r="M258" s="838"/>
      <c r="N258" s="838"/>
      <c r="O258" s="838"/>
      <c r="P258" s="838"/>
      <c r="Q258" s="838"/>
      <c r="R258" s="838"/>
      <c r="S258" s="838"/>
      <c r="T258" s="838"/>
      <c r="U258" s="838"/>
      <c r="V258" s="838"/>
      <c r="W258" s="839"/>
    </row>
    <row r="259" spans="1:23" ht="30" customHeight="1" thickBot="1" x14ac:dyDescent="0.3">
      <c r="A259" s="271">
        <v>250</v>
      </c>
      <c r="B259" s="1105" t="s">
        <v>4006</v>
      </c>
      <c r="C259" s="1105"/>
      <c r="D259" s="1105"/>
      <c r="E259" s="1105"/>
      <c r="F259" s="1105"/>
      <c r="G259" s="1106"/>
      <c r="H259" s="838" t="str">
        <f t="shared" si="7"/>
        <v>La sauce était trop courte et les lentilles étaient sèches.</v>
      </c>
      <c r="I259" s="838"/>
      <c r="J259" s="838"/>
      <c r="K259" s="838"/>
      <c r="L259" s="838"/>
      <c r="M259" s="838"/>
      <c r="N259" s="838"/>
      <c r="O259" s="838"/>
      <c r="P259" s="838"/>
      <c r="Q259" s="838"/>
      <c r="R259" s="838"/>
      <c r="S259" s="838"/>
      <c r="T259" s="838"/>
      <c r="U259" s="838"/>
      <c r="V259" s="838"/>
      <c r="W259" s="839"/>
    </row>
    <row r="260" spans="1:23" ht="30" customHeight="1" thickBot="1" x14ac:dyDescent="0.3">
      <c r="A260" s="271">
        <v>251</v>
      </c>
      <c r="B260" s="1105" t="s">
        <v>3340</v>
      </c>
      <c r="C260" s="1105"/>
      <c r="D260" s="1105"/>
      <c r="E260" s="1105"/>
      <c r="F260" s="1105"/>
      <c r="G260" s="1106"/>
      <c r="H260" s="838" t="str">
        <f t="shared" si="7"/>
        <v>La tenue au chaud peut épaissir une sauce et rendre le plat moins agréable.</v>
      </c>
      <c r="I260" s="838"/>
      <c r="J260" s="838"/>
      <c r="K260" s="838"/>
      <c r="L260" s="838"/>
      <c r="M260" s="838"/>
      <c r="N260" s="838"/>
      <c r="O260" s="838"/>
      <c r="P260" s="838"/>
      <c r="Q260" s="838"/>
      <c r="R260" s="838"/>
      <c r="S260" s="838"/>
      <c r="T260" s="838"/>
      <c r="U260" s="838"/>
      <c r="V260" s="838"/>
      <c r="W260" s="839"/>
    </row>
    <row r="261" spans="1:23" ht="30" customHeight="1" thickBot="1" x14ac:dyDescent="0.3">
      <c r="A261" s="271">
        <v>252</v>
      </c>
      <c r="B261" s="1105" t="s">
        <v>3464</v>
      </c>
      <c r="C261" s="1105"/>
      <c r="D261" s="1105"/>
      <c r="E261" s="1105"/>
      <c r="F261" s="1105"/>
      <c r="G261" s="1106"/>
      <c r="H261" s="838" t="str">
        <f t="shared" si="7"/>
        <v>Le bilan d’une recette regarde le goût, la texture, la sauce, le coût, les allergènes et le gaspillage.</v>
      </c>
      <c r="I261" s="838"/>
      <c r="J261" s="838"/>
      <c r="K261" s="838"/>
      <c r="L261" s="838"/>
      <c r="M261" s="838"/>
      <c r="N261" s="838"/>
      <c r="O261" s="838"/>
      <c r="P261" s="838"/>
      <c r="Q261" s="838"/>
      <c r="R261" s="838"/>
      <c r="S261" s="838"/>
      <c r="T261" s="838"/>
      <c r="U261" s="838"/>
      <c r="V261" s="838"/>
      <c r="W261" s="839"/>
    </row>
    <row r="262" spans="1:23" ht="30" customHeight="1" thickBot="1" x14ac:dyDescent="0.3">
      <c r="A262" s="271">
        <v>253</v>
      </c>
      <c r="B262" s="1105" t="s">
        <v>4022</v>
      </c>
      <c r="C262" s="1105"/>
      <c r="D262" s="1105"/>
      <c r="E262" s="1105"/>
      <c r="F262" s="1105"/>
      <c r="G262" s="1106"/>
      <c r="H262" s="838" t="str">
        <f t="shared" si="7"/>
        <v>Le chili aux haricots rouges était bon mais un peu pâteux.</v>
      </c>
      <c r="I262" s="838"/>
      <c r="J262" s="838"/>
      <c r="K262" s="838"/>
      <c r="L262" s="838"/>
      <c r="M262" s="838"/>
      <c r="N262" s="838"/>
      <c r="O262" s="838"/>
      <c r="P262" s="838"/>
      <c r="Q262" s="838"/>
      <c r="R262" s="838"/>
      <c r="S262" s="838"/>
      <c r="T262" s="838"/>
      <c r="U262" s="838"/>
      <c r="V262" s="838"/>
      <c r="W262" s="839"/>
    </row>
    <row r="263" spans="1:23" ht="30" customHeight="1" thickBot="1" x14ac:dyDescent="0.3">
      <c r="A263" s="271">
        <v>254</v>
      </c>
      <c r="B263" s="1105" t="s">
        <v>4188</v>
      </c>
      <c r="C263" s="1105"/>
      <c r="D263" s="1105"/>
      <c r="E263" s="1105"/>
      <c r="F263" s="1105"/>
      <c r="G263" s="1106"/>
      <c r="H263" s="838" t="str">
        <f t="shared" si="7"/>
        <v>Le chili n’a pas été jeté, les élèves ont bien mangé.</v>
      </c>
      <c r="I263" s="838"/>
      <c r="J263" s="838"/>
      <c r="K263" s="838"/>
      <c r="L263" s="838"/>
      <c r="M263" s="838"/>
      <c r="N263" s="838"/>
      <c r="O263" s="838"/>
      <c r="P263" s="838"/>
      <c r="Q263" s="838"/>
      <c r="R263" s="838"/>
      <c r="S263" s="838"/>
      <c r="T263" s="838"/>
      <c r="U263" s="838"/>
      <c r="V263" s="838"/>
      <c r="W263" s="839"/>
    </row>
    <row r="264" spans="1:23" ht="30" customHeight="1" thickBot="1" x14ac:dyDescent="0.3">
      <c r="A264" s="271">
        <v>255</v>
      </c>
      <c r="B264" s="1105" t="s">
        <v>4350</v>
      </c>
      <c r="C264" s="1105"/>
      <c r="D264" s="1105"/>
      <c r="E264" s="1105"/>
      <c r="F264" s="1105"/>
      <c r="G264" s="1106"/>
      <c r="H264" s="838" t="str">
        <f t="shared" si="7"/>
        <v>Le chili végétal aux haricots rouges peut coûter correctement, mais s’il est sec et peu mangé, il faut le corriger.</v>
      </c>
      <c r="I264" s="838"/>
      <c r="J264" s="838"/>
      <c r="K264" s="838"/>
      <c r="L264" s="838"/>
      <c r="M264" s="838"/>
      <c r="N264" s="838"/>
      <c r="O264" s="838"/>
      <c r="P264" s="838"/>
      <c r="Q264" s="838"/>
      <c r="R264" s="838"/>
      <c r="S264" s="838"/>
      <c r="T264" s="838"/>
      <c r="U264" s="838"/>
      <c r="V264" s="838"/>
      <c r="W264" s="839"/>
    </row>
    <row r="265" spans="1:23" ht="30" customHeight="1" thickBot="1" x14ac:dyDescent="0.3">
      <c r="A265" s="271">
        <v>256</v>
      </c>
      <c r="B265" s="1105" t="s">
        <v>4157</v>
      </c>
      <c r="C265" s="1105"/>
      <c r="D265" s="1105"/>
      <c r="E265" s="1105"/>
      <c r="F265" s="1105"/>
      <c r="G265" s="1106"/>
      <c r="H265" s="838" t="str">
        <f t="shared" si="7"/>
        <v>Le coût matière est bas avec les lentilles, mais il faut compter le temps de préparation et les restes.</v>
      </c>
      <c r="I265" s="838"/>
      <c r="J265" s="838"/>
      <c r="K265" s="838"/>
      <c r="L265" s="838"/>
      <c r="M265" s="838"/>
      <c r="N265" s="838"/>
      <c r="O265" s="838"/>
      <c r="P265" s="838"/>
      <c r="Q265" s="838"/>
      <c r="R265" s="838"/>
      <c r="S265" s="838"/>
      <c r="T265" s="838"/>
      <c r="U265" s="838"/>
      <c r="V265" s="838"/>
      <c r="W265" s="839"/>
    </row>
    <row r="266" spans="1:23" ht="30" customHeight="1" thickBot="1" x14ac:dyDescent="0.3">
      <c r="A266" s="271">
        <v>257</v>
      </c>
      <c r="B266" s="1105" t="s">
        <v>3430</v>
      </c>
      <c r="C266" s="1105"/>
      <c r="D266" s="1105"/>
      <c r="E266" s="1105"/>
      <c r="F266" s="1105"/>
      <c r="G266" s="1106"/>
      <c r="H266" s="838" t="str">
        <f t="shared" si="7"/>
        <v>Le coût réel augmente quand on ajoute du temps de travail, des pertes et beaucoup de gaspillage.</v>
      </c>
      <c r="I266" s="838"/>
      <c r="J266" s="838"/>
      <c r="K266" s="838"/>
      <c r="L266" s="838"/>
      <c r="M266" s="838"/>
      <c r="N266" s="838"/>
      <c r="O266" s="838"/>
      <c r="P266" s="838"/>
      <c r="Q266" s="838"/>
      <c r="R266" s="838"/>
      <c r="S266" s="838"/>
      <c r="T266" s="838"/>
      <c r="U266" s="838"/>
      <c r="V266" s="838"/>
      <c r="W266" s="839"/>
    </row>
    <row r="267" spans="1:23" ht="30" customHeight="1" thickBot="1" x14ac:dyDescent="0.3">
      <c r="A267" s="271">
        <v>258</v>
      </c>
      <c r="B267" s="1105" t="s">
        <v>3446</v>
      </c>
      <c r="C267" s="1105"/>
      <c r="D267" s="1105"/>
      <c r="E267" s="1105"/>
      <c r="F267" s="1105"/>
      <c r="G267" s="1106"/>
      <c r="H267" s="838" t="str">
        <f t="shared" si="7"/>
        <v>Le cuisinier peut noter les recettes les plus appréciées pour construire le prochain cycle de menus.</v>
      </c>
      <c r="I267" s="838"/>
      <c r="J267" s="838"/>
      <c r="K267" s="838"/>
      <c r="L267" s="838"/>
      <c r="M267" s="838"/>
      <c r="N267" s="838"/>
      <c r="O267" s="838"/>
      <c r="P267" s="838"/>
      <c r="Q267" s="838"/>
      <c r="R267" s="838"/>
      <c r="S267" s="838"/>
      <c r="T267" s="838"/>
      <c r="U267" s="838"/>
      <c r="V267" s="838"/>
      <c r="W267" s="839"/>
    </row>
    <row r="268" spans="1:23" ht="30" customHeight="1" thickBot="1" x14ac:dyDescent="0.3">
      <c r="A268" s="271">
        <v>259</v>
      </c>
      <c r="B268" s="1105" t="s">
        <v>3410</v>
      </c>
      <c r="C268" s="1105"/>
      <c r="D268" s="1105"/>
      <c r="E268" s="1105"/>
      <c r="F268" s="1105"/>
      <c r="G268" s="1106"/>
      <c r="H268" s="838" t="str">
        <f t="shared" si="7"/>
        <v>Le cuisinier vérifie la température, la sauce, la texture et les allergènes avant l’envoi.</v>
      </c>
      <c r="I268" s="838"/>
      <c r="J268" s="838"/>
      <c r="K268" s="838"/>
      <c r="L268" s="838"/>
      <c r="M268" s="838"/>
      <c r="N268" s="838"/>
      <c r="O268" s="838"/>
      <c r="P268" s="838"/>
      <c r="Q268" s="838"/>
      <c r="R268" s="838"/>
      <c r="S268" s="838"/>
      <c r="T268" s="838"/>
      <c r="U268" s="838"/>
      <c r="V268" s="838"/>
      <c r="W268" s="839"/>
    </row>
    <row r="269" spans="1:23" ht="30" customHeight="1" thickBot="1" x14ac:dyDescent="0.3">
      <c r="A269" s="271">
        <v>260</v>
      </c>
      <c r="B269" s="1105" t="s">
        <v>3270</v>
      </c>
      <c r="C269" s="1105"/>
      <c r="D269" s="1105"/>
      <c r="E269" s="1105"/>
      <c r="F269" s="1105"/>
      <c r="G269" s="1106"/>
      <c r="H269" s="838" t="str">
        <f t="shared" si="7"/>
        <v>Le curry de pois chiches est mieux accepté quand il y a du riz, des légumes visibles, une sauce suffisante et un nom de plat clair.</v>
      </c>
      <c r="I269" s="838"/>
      <c r="J269" s="838"/>
      <c r="K269" s="838"/>
      <c r="L269" s="838"/>
      <c r="M269" s="838"/>
      <c r="N269" s="838"/>
      <c r="O269" s="838"/>
      <c r="P269" s="838"/>
      <c r="Q269" s="838"/>
      <c r="R269" s="838"/>
      <c r="S269" s="838"/>
      <c r="T269" s="838"/>
      <c r="U269" s="838"/>
      <c r="V269" s="838"/>
      <c r="W269" s="839"/>
    </row>
    <row r="270" spans="1:23" ht="30" customHeight="1" thickBot="1" x14ac:dyDescent="0.3">
      <c r="A270" s="271">
        <v>261</v>
      </c>
      <c r="B270" s="1105" t="s">
        <v>4148</v>
      </c>
      <c r="C270" s="1105"/>
      <c r="D270" s="1105"/>
      <c r="E270" s="1105"/>
      <c r="F270" s="1105"/>
      <c r="G270" s="1106"/>
      <c r="H270" s="838" t="str">
        <f t="shared" si="7"/>
        <v>Le curry de pois chiches était meilleur que la salade froide parce qu’il y avait plus de sauce et de goût.</v>
      </c>
      <c r="I270" s="838"/>
      <c r="J270" s="838"/>
      <c r="K270" s="838"/>
      <c r="L270" s="838"/>
      <c r="M270" s="838"/>
      <c r="N270" s="838"/>
      <c r="O270" s="838"/>
      <c r="P270" s="838"/>
      <c r="Q270" s="838"/>
      <c r="R270" s="838"/>
      <c r="S270" s="838"/>
      <c r="T270" s="838"/>
      <c r="U270" s="838"/>
      <c r="V270" s="838"/>
      <c r="W270" s="839"/>
    </row>
    <row r="271" spans="1:23" ht="30" customHeight="1" thickBot="1" x14ac:dyDescent="0.3">
      <c r="A271" s="271">
        <v>262</v>
      </c>
      <c r="B271" s="1105" t="s">
        <v>4346</v>
      </c>
      <c r="C271" s="1105"/>
      <c r="D271" s="1105"/>
      <c r="E271" s="1105"/>
      <c r="F271" s="1105"/>
      <c r="G271" s="1106"/>
      <c r="H271" s="838" t="str">
        <f t="shared" si="7"/>
        <v>Le dhal de pois cassés peut être refusé s’il est farineux, pas assez assaisonné et trop longtemps au chaud.</v>
      </c>
      <c r="I271" s="838"/>
      <c r="J271" s="838"/>
      <c r="K271" s="838"/>
      <c r="L271" s="838"/>
      <c r="M271" s="838"/>
      <c r="N271" s="838"/>
      <c r="O271" s="838"/>
      <c r="P271" s="838"/>
      <c r="Q271" s="838"/>
      <c r="R271" s="838"/>
      <c r="S271" s="838"/>
      <c r="T271" s="838"/>
      <c r="U271" s="838"/>
      <c r="V271" s="838"/>
      <c r="W271" s="839"/>
    </row>
    <row r="272" spans="1:23" ht="30" customHeight="1" thickBot="1" x14ac:dyDescent="0.3">
      <c r="A272" s="271">
        <v>263</v>
      </c>
      <c r="B272" s="1105" t="s">
        <v>3248</v>
      </c>
      <c r="C272" s="1105"/>
      <c r="D272" s="1105"/>
      <c r="E272" s="1105"/>
      <c r="F272" s="1105"/>
      <c r="G272" s="1106"/>
      <c r="H272" s="838" t="str">
        <f t="shared" si="7"/>
        <v>Le dhal de pois cassés plaît peu car il est farineux, manque d’assaisonnement et reste trop longtemps en tenue au chaud.</v>
      </c>
      <c r="I272" s="838"/>
      <c r="J272" s="838"/>
      <c r="K272" s="838"/>
      <c r="L272" s="838"/>
      <c r="M272" s="838"/>
      <c r="N272" s="838"/>
      <c r="O272" s="838"/>
      <c r="P272" s="838"/>
      <c r="Q272" s="838"/>
      <c r="R272" s="838"/>
      <c r="S272" s="838"/>
      <c r="T272" s="838"/>
      <c r="U272" s="838"/>
      <c r="V272" s="838"/>
      <c r="W272" s="839"/>
    </row>
    <row r="273" spans="1:23" ht="30" customHeight="1" thickBot="1" x14ac:dyDescent="0.3">
      <c r="A273" s="271">
        <v>264</v>
      </c>
      <c r="B273" s="1105" t="s">
        <v>3360</v>
      </c>
      <c r="C273" s="1105"/>
      <c r="D273" s="1105"/>
      <c r="E273" s="1105"/>
      <c r="F273" s="1105"/>
      <c r="G273" s="1106"/>
      <c r="H273" s="838" t="str">
        <f t="shared" si="7"/>
        <v>Le froid peut diminuer le goût d’une salade végétale, donc l’assaisonnement doit être ajusté.</v>
      </c>
      <c r="I273" s="838"/>
      <c r="J273" s="838"/>
      <c r="K273" s="838"/>
      <c r="L273" s="838"/>
      <c r="M273" s="838"/>
      <c r="N273" s="838"/>
      <c r="O273" s="838"/>
      <c r="P273" s="838"/>
      <c r="Q273" s="838"/>
      <c r="R273" s="838"/>
      <c r="S273" s="838"/>
      <c r="T273" s="838"/>
      <c r="U273" s="838"/>
      <c r="V273" s="838"/>
      <c r="W273" s="839"/>
    </row>
    <row r="274" spans="1:23" ht="30" customHeight="1" thickBot="1" x14ac:dyDescent="0.3">
      <c r="A274" s="271">
        <v>265</v>
      </c>
      <c r="B274" s="1105" t="s">
        <v>3386</v>
      </c>
      <c r="C274" s="1105"/>
      <c r="D274" s="1105"/>
      <c r="E274" s="1105"/>
      <c r="F274" s="1105"/>
      <c r="G274" s="1106"/>
      <c r="H274" s="838" t="str">
        <f t="shared" si="7"/>
        <v>Le fromage peut améliorer un gratin mais il ajoute un allergène lait à signaler.</v>
      </c>
      <c r="I274" s="838"/>
      <c r="J274" s="838"/>
      <c r="K274" s="838"/>
      <c r="L274" s="838"/>
      <c r="M274" s="838"/>
      <c r="N274" s="838"/>
      <c r="O274" s="838"/>
      <c r="P274" s="838"/>
      <c r="Q274" s="838"/>
      <c r="R274" s="838"/>
      <c r="S274" s="838"/>
      <c r="T274" s="838"/>
      <c r="U274" s="838"/>
      <c r="V274" s="838"/>
      <c r="W274" s="839"/>
    </row>
    <row r="275" spans="1:23" ht="30" customHeight="1" thickBot="1" x14ac:dyDescent="0.3">
      <c r="A275" s="271">
        <v>266</v>
      </c>
      <c r="B275" s="1105" t="s">
        <v>3322</v>
      </c>
      <c r="C275" s="1105"/>
      <c r="D275" s="1105"/>
      <c r="E275" s="1105"/>
      <c r="F275" s="1105"/>
      <c r="G275" s="1106"/>
      <c r="H275" s="838" t="str">
        <f t="shared" si="7"/>
        <v>Le gaspillage baisse quand les portions sont adaptées et que le plat est plus appétissant.</v>
      </c>
      <c r="I275" s="838"/>
      <c r="J275" s="838"/>
      <c r="K275" s="838"/>
      <c r="L275" s="838"/>
      <c r="M275" s="838"/>
      <c r="N275" s="838"/>
      <c r="O275" s="838"/>
      <c r="P275" s="838"/>
      <c r="Q275" s="838"/>
      <c r="R275" s="838"/>
      <c r="S275" s="838"/>
      <c r="T275" s="838"/>
      <c r="U275" s="838"/>
      <c r="V275" s="838"/>
      <c r="W275" s="839"/>
    </row>
    <row r="276" spans="1:23" ht="30" customHeight="1" thickBot="1" x14ac:dyDescent="0.3">
      <c r="A276" s="271">
        <v>267</v>
      </c>
      <c r="B276" s="1105" t="s">
        <v>4080</v>
      </c>
      <c r="C276" s="1105"/>
      <c r="D276" s="1105"/>
      <c r="E276" s="1105"/>
      <c r="F276" s="1105"/>
      <c r="G276" s="1106"/>
      <c r="H276" s="838" t="str">
        <f t="shared" si="7"/>
        <v>Le goût fumé va bien avec les haricots rouges.</v>
      </c>
      <c r="I276" s="838"/>
      <c r="J276" s="838"/>
      <c r="K276" s="838"/>
      <c r="L276" s="838"/>
      <c r="M276" s="838"/>
      <c r="N276" s="838"/>
      <c r="O276" s="838"/>
      <c r="P276" s="838"/>
      <c r="Q276" s="838"/>
      <c r="R276" s="838"/>
      <c r="S276" s="838"/>
      <c r="T276" s="838"/>
      <c r="U276" s="838"/>
      <c r="V276" s="838"/>
      <c r="W276" s="839"/>
    </row>
    <row r="277" spans="1:23" ht="30" customHeight="1" thickBot="1" x14ac:dyDescent="0.3">
      <c r="A277" s="271">
        <v>268</v>
      </c>
      <c r="B277" s="1105" t="s">
        <v>3306</v>
      </c>
      <c r="C277" s="1105"/>
      <c r="D277" s="1105"/>
      <c r="E277" s="1105"/>
      <c r="F277" s="1105"/>
      <c r="G277" s="1106"/>
      <c r="H277" s="838" t="str">
        <f t="shared" si="7"/>
        <v>Le goût fumé, les herbes, les épices douces et l’acidité peuvent renforcer un plat végétal.</v>
      </c>
      <c r="I277" s="838"/>
      <c r="J277" s="838"/>
      <c r="K277" s="838"/>
      <c r="L277" s="838"/>
      <c r="M277" s="838"/>
      <c r="N277" s="838"/>
      <c r="O277" s="838"/>
      <c r="P277" s="838"/>
      <c r="Q277" s="838"/>
      <c r="R277" s="838"/>
      <c r="S277" s="838"/>
      <c r="T277" s="838"/>
      <c r="U277" s="838"/>
      <c r="V277" s="838"/>
      <c r="W277" s="839"/>
    </row>
    <row r="278" spans="1:23" ht="30" customHeight="1" thickBot="1" x14ac:dyDescent="0.3">
      <c r="A278" s="271">
        <v>269</v>
      </c>
      <c r="B278" s="1105" t="s">
        <v>4283</v>
      </c>
      <c r="C278" s="1105"/>
      <c r="D278" s="1105"/>
      <c r="E278" s="1105"/>
      <c r="F278" s="1105"/>
      <c r="G278" s="1106"/>
      <c r="H278" s="838" t="str">
        <f t="shared" si="7"/>
        <v>Le haché végétal au soja doit être bien assaisonné, et il faut afficher l’allergène soja.</v>
      </c>
      <c r="I278" s="838"/>
      <c r="J278" s="838"/>
      <c r="K278" s="838"/>
      <c r="L278" s="838"/>
      <c r="M278" s="838"/>
      <c r="N278" s="838"/>
      <c r="O278" s="838"/>
      <c r="P278" s="838"/>
      <c r="Q278" s="838"/>
      <c r="R278" s="838"/>
      <c r="S278" s="838"/>
      <c r="T278" s="838"/>
      <c r="U278" s="838"/>
      <c r="V278" s="838"/>
      <c r="W278" s="839"/>
    </row>
    <row r="279" spans="1:23" ht="30" customHeight="1" thickBot="1" x14ac:dyDescent="0.3">
      <c r="A279" s="271">
        <v>270</v>
      </c>
      <c r="B279" s="1105" t="s">
        <v>4277</v>
      </c>
      <c r="C279" s="1105"/>
      <c r="D279" s="1105"/>
      <c r="E279" s="1105"/>
      <c r="F279" s="1105"/>
      <c r="G279" s="1106"/>
      <c r="H279" s="838" t="str">
        <f t="shared" si="7"/>
        <v>Le houmous peut bien marcher avec des crudités et du pain, mais il faut faire attention au sésame et au gluten.</v>
      </c>
      <c r="I279" s="838"/>
      <c r="J279" s="838"/>
      <c r="K279" s="838"/>
      <c r="L279" s="838"/>
      <c r="M279" s="838"/>
      <c r="N279" s="838"/>
      <c r="O279" s="838"/>
      <c r="P279" s="838"/>
      <c r="Q279" s="838"/>
      <c r="R279" s="838"/>
      <c r="S279" s="838"/>
      <c r="T279" s="838"/>
      <c r="U279" s="838"/>
      <c r="V279" s="838"/>
      <c r="W279" s="839"/>
    </row>
    <row r="280" spans="1:23" ht="30" customHeight="1" thickBot="1" x14ac:dyDescent="0.3">
      <c r="A280" s="271">
        <v>271</v>
      </c>
      <c r="B280" s="1105" t="s">
        <v>4074</v>
      </c>
      <c r="C280" s="1105"/>
      <c r="D280" s="1105"/>
      <c r="E280" s="1105"/>
      <c r="F280" s="1105"/>
      <c r="G280" s="1106"/>
      <c r="H280" s="838" t="str">
        <f t="shared" si="7"/>
        <v>Le lupin doit être marqué sur l’affiche si la recette en contient.</v>
      </c>
      <c r="I280" s="838"/>
      <c r="J280" s="838"/>
      <c r="K280" s="838"/>
      <c r="L280" s="838"/>
      <c r="M280" s="838"/>
      <c r="N280" s="838"/>
      <c r="O280" s="838"/>
      <c r="P280" s="838"/>
      <c r="Q280" s="838"/>
      <c r="R280" s="838"/>
      <c r="S280" s="838"/>
      <c r="T280" s="838"/>
      <c r="U280" s="838"/>
      <c r="V280" s="838"/>
      <c r="W280" s="839"/>
    </row>
    <row r="281" spans="1:23" ht="30" customHeight="1" thickBot="1" x14ac:dyDescent="0.3">
      <c r="A281" s="271">
        <v>272</v>
      </c>
      <c r="B281" s="1105" t="s">
        <v>3330</v>
      </c>
      <c r="C281" s="1105"/>
      <c r="D281" s="1105"/>
      <c r="E281" s="1105"/>
      <c r="F281" s="1105"/>
      <c r="G281" s="1106"/>
      <c r="H281" s="838" t="str">
        <f t="shared" si="7"/>
        <v>Le lupin est aussi un allergène et doit être indiqué s’il est utilisé dans une recette.</v>
      </c>
      <c r="I281" s="838"/>
      <c r="J281" s="838"/>
      <c r="K281" s="838"/>
      <c r="L281" s="838"/>
      <c r="M281" s="838"/>
      <c r="N281" s="838"/>
      <c r="O281" s="838"/>
      <c r="P281" s="838"/>
      <c r="Q281" s="838"/>
      <c r="R281" s="838"/>
      <c r="S281" s="838"/>
      <c r="T281" s="838"/>
      <c r="U281" s="838"/>
      <c r="V281" s="838"/>
      <c r="W281" s="839"/>
    </row>
    <row r="282" spans="1:23" ht="30" customHeight="1" thickBot="1" x14ac:dyDescent="0.3">
      <c r="A282" s="271">
        <v>273</v>
      </c>
      <c r="B282" s="1105" t="s">
        <v>3230</v>
      </c>
      <c r="C282" s="1105"/>
      <c r="D282" s="1105"/>
      <c r="E282" s="1105"/>
      <c r="F282" s="1105"/>
      <c r="G282" s="1106"/>
      <c r="H282" s="838" t="str">
        <f t="shared" si="7"/>
        <v>Le menu propose haricots rouges le lundi, pois chiches le mercredi et lentilles le vendredi pour varier les protéines végétales.</v>
      </c>
      <c r="I282" s="838"/>
      <c r="J282" s="838"/>
      <c r="K282" s="838"/>
      <c r="L282" s="838"/>
      <c r="M282" s="838"/>
      <c r="N282" s="838"/>
      <c r="O282" s="838"/>
      <c r="P282" s="838"/>
      <c r="Q282" s="838"/>
      <c r="R282" s="838"/>
      <c r="S282" s="838"/>
      <c r="T282" s="838"/>
      <c r="U282" s="838"/>
      <c r="V282" s="838"/>
      <c r="W282" s="839"/>
    </row>
    <row r="283" spans="1:23" ht="30" customHeight="1" thickBot="1" x14ac:dyDescent="0.3">
      <c r="A283" s="271">
        <v>274</v>
      </c>
      <c r="B283" s="1105" t="s">
        <v>3354</v>
      </c>
      <c r="C283" s="1105"/>
      <c r="D283" s="1105"/>
      <c r="E283" s="1105"/>
      <c r="F283" s="1105"/>
      <c r="G283" s="1106"/>
      <c r="H283" s="838" t="str">
        <f t="shared" si="7"/>
        <v>Le nom curry doux de lentilles donne plus envie qu’un nom vague comme plat végétal.</v>
      </c>
      <c r="I283" s="838"/>
      <c r="J283" s="838"/>
      <c r="K283" s="838"/>
      <c r="L283" s="838"/>
      <c r="M283" s="838"/>
      <c r="N283" s="838"/>
      <c r="O283" s="838"/>
      <c r="P283" s="838"/>
      <c r="Q283" s="838"/>
      <c r="R283" s="838"/>
      <c r="S283" s="838"/>
      <c r="T283" s="838"/>
      <c r="U283" s="838"/>
      <c r="V283" s="838"/>
      <c r="W283" s="839"/>
    </row>
    <row r="284" spans="1:23" ht="30" customHeight="1" thickBot="1" x14ac:dyDescent="0.3">
      <c r="A284" s="271">
        <v>275</v>
      </c>
      <c r="B284" s="1105" t="s">
        <v>4274</v>
      </c>
      <c r="C284" s="1105"/>
      <c r="D284" s="1105"/>
      <c r="E284" s="1105"/>
      <c r="F284" s="1105"/>
      <c r="G284" s="1106"/>
      <c r="H284" s="838" t="str">
        <f t="shared" si="7"/>
        <v>Le plan est correct si on varie les recettes, mais il faut encore réduire le gaspillage et améliorer la sauce et la texture.</v>
      </c>
      <c r="I284" s="838"/>
      <c r="J284" s="838"/>
      <c r="K284" s="838"/>
      <c r="L284" s="838"/>
      <c r="M284" s="838"/>
      <c r="N284" s="838"/>
      <c r="O284" s="838"/>
      <c r="P284" s="838"/>
      <c r="Q284" s="838"/>
      <c r="R284" s="838"/>
      <c r="S284" s="838"/>
      <c r="T284" s="838"/>
      <c r="U284" s="838"/>
      <c r="V284" s="838"/>
      <c r="W284" s="839"/>
    </row>
    <row r="285" spans="1:23" ht="30" customHeight="1" thickBot="1" x14ac:dyDescent="0.3">
      <c r="A285" s="271">
        <v>276</v>
      </c>
      <c r="B285" s="1105" t="s">
        <v>4197</v>
      </c>
      <c r="C285" s="1105"/>
      <c r="D285" s="1105"/>
      <c r="E285" s="1105"/>
      <c r="F285" s="1105"/>
      <c r="G285" s="1106"/>
      <c r="H285" s="838" t="str">
        <f t="shared" si="7"/>
        <v>Le plat a été bien expliqué au self et les élèves ont goûté.</v>
      </c>
      <c r="I285" s="838"/>
      <c r="J285" s="838"/>
      <c r="K285" s="838"/>
      <c r="L285" s="838"/>
      <c r="M285" s="838"/>
      <c r="N285" s="838"/>
      <c r="O285" s="838"/>
      <c r="P285" s="838"/>
      <c r="Q285" s="838"/>
      <c r="R285" s="838"/>
      <c r="S285" s="838"/>
      <c r="T285" s="838"/>
      <c r="U285" s="838"/>
      <c r="V285" s="838"/>
      <c r="W285" s="839"/>
    </row>
    <row r="286" spans="1:23" ht="30" customHeight="1" thickBot="1" x14ac:dyDescent="0.3">
      <c r="A286" s="271">
        <v>277</v>
      </c>
      <c r="B286" s="1105" t="s">
        <v>4145</v>
      </c>
      <c r="C286" s="1105"/>
      <c r="D286" s="1105"/>
      <c r="E286" s="1105"/>
      <c r="F286" s="1105"/>
      <c r="G286" s="1106"/>
      <c r="H286" s="838" t="str">
        <f t="shared" si="7"/>
        <v>Le plat aux lentilles était sec, les élèves ont peu mangé et il faudrait ajouter une sauce plus longue.</v>
      </c>
      <c r="I286" s="838"/>
      <c r="J286" s="838"/>
      <c r="K286" s="838"/>
      <c r="L286" s="838"/>
      <c r="M286" s="838"/>
      <c r="N286" s="838"/>
      <c r="O286" s="838"/>
      <c r="P286" s="838"/>
      <c r="Q286" s="838"/>
      <c r="R286" s="838"/>
      <c r="S286" s="838"/>
      <c r="T286" s="838"/>
      <c r="U286" s="838"/>
      <c r="V286" s="838"/>
      <c r="W286" s="839"/>
    </row>
    <row r="287" spans="1:23" ht="30" customHeight="1" thickBot="1" x14ac:dyDescent="0.3">
      <c r="A287" s="271">
        <v>278</v>
      </c>
      <c r="B287" s="1105" t="s">
        <v>3240</v>
      </c>
      <c r="C287" s="1105"/>
      <c r="D287" s="1105"/>
      <c r="E287" s="1105"/>
      <c r="F287" s="1105"/>
      <c r="G287" s="1106"/>
      <c r="H287" s="838" t="str">
        <f t="shared" si="7"/>
        <v>Le plat complet associe légumineuse, céréale, légumes, fibres, fer et source de protéine.</v>
      </c>
      <c r="I287" s="838"/>
      <c r="J287" s="838"/>
      <c r="K287" s="838"/>
      <c r="L287" s="838"/>
      <c r="M287" s="838"/>
      <c r="N287" s="838"/>
      <c r="O287" s="838"/>
      <c r="P287" s="838"/>
      <c r="Q287" s="838"/>
      <c r="R287" s="838"/>
      <c r="S287" s="838"/>
      <c r="T287" s="838"/>
      <c r="U287" s="838"/>
      <c r="V287" s="838"/>
      <c r="W287" s="839"/>
    </row>
    <row r="288" spans="1:23" ht="30" customHeight="1" thickBot="1" x14ac:dyDescent="0.3">
      <c r="A288" s="271">
        <v>279</v>
      </c>
      <c r="B288" s="1105" t="s">
        <v>4025</v>
      </c>
      <c r="C288" s="1105"/>
      <c r="D288" s="1105"/>
      <c r="E288" s="1105"/>
      <c r="F288" s="1105"/>
      <c r="G288" s="1106"/>
      <c r="H288" s="838" t="str">
        <f t="shared" si="7"/>
        <v>Le plat coûtait moins cher, mais si tout part à la poubelle ce n’est pas rentable.</v>
      </c>
      <c r="I288" s="838"/>
      <c r="J288" s="838"/>
      <c r="K288" s="838"/>
      <c r="L288" s="838"/>
      <c r="M288" s="838"/>
      <c r="N288" s="838"/>
      <c r="O288" s="838"/>
      <c r="P288" s="838"/>
      <c r="Q288" s="838"/>
      <c r="R288" s="838"/>
      <c r="S288" s="838"/>
      <c r="T288" s="838"/>
      <c r="U288" s="838"/>
      <c r="V288" s="838"/>
      <c r="W288" s="839"/>
    </row>
    <row r="289" spans="1:23" ht="30" customHeight="1" thickBot="1" x14ac:dyDescent="0.3">
      <c r="A289" s="271">
        <v>280</v>
      </c>
      <c r="B289" s="1105" t="s">
        <v>4015</v>
      </c>
      <c r="C289" s="1105"/>
      <c r="D289" s="1105"/>
      <c r="E289" s="1105"/>
      <c r="F289" s="1105"/>
      <c r="G289" s="1106"/>
      <c r="H289" s="838" t="str">
        <f t="shared" si="7"/>
        <v>Le plat était fade, il manquait des épices.</v>
      </c>
      <c r="I289" s="838"/>
      <c r="J289" s="838"/>
      <c r="K289" s="838"/>
      <c r="L289" s="838"/>
      <c r="M289" s="838"/>
      <c r="N289" s="838"/>
      <c r="O289" s="838"/>
      <c r="P289" s="838"/>
      <c r="Q289" s="838"/>
      <c r="R289" s="838"/>
      <c r="S289" s="838"/>
      <c r="T289" s="838"/>
      <c r="U289" s="838"/>
      <c r="V289" s="838"/>
      <c r="W289" s="839"/>
    </row>
    <row r="290" spans="1:23" ht="30" customHeight="1" thickBot="1" x14ac:dyDescent="0.3">
      <c r="A290" s="271">
        <v>281</v>
      </c>
      <c r="B290" s="1105" t="s">
        <v>3729</v>
      </c>
      <c r="C290" s="1105"/>
      <c r="D290" s="1105"/>
      <c r="E290" s="1105"/>
      <c r="F290" s="1105"/>
      <c r="G290" s="1106"/>
      <c r="H290" s="838" t="str">
        <f t="shared" si="7"/>
        <v>Le plat était trop sec, il fallait plus de sauce.</v>
      </c>
      <c r="I290" s="838"/>
      <c r="J290" s="838"/>
      <c r="K290" s="838"/>
      <c r="L290" s="838"/>
      <c r="M290" s="838"/>
      <c r="N290" s="838"/>
      <c r="O290" s="838"/>
      <c r="P290" s="838"/>
      <c r="Q290" s="838"/>
      <c r="R290" s="838"/>
      <c r="S290" s="838"/>
      <c r="T290" s="838"/>
      <c r="U290" s="838"/>
      <c r="V290" s="838"/>
      <c r="W290" s="839"/>
    </row>
    <row r="291" spans="1:23" ht="30" customHeight="1" thickBot="1" x14ac:dyDescent="0.3">
      <c r="A291" s="271">
        <v>282</v>
      </c>
      <c r="B291" s="1105" t="s">
        <v>4088</v>
      </c>
      <c r="C291" s="1105"/>
      <c r="D291" s="1105"/>
      <c r="E291" s="1105"/>
      <c r="F291" s="1105"/>
      <c r="G291" s="1106"/>
      <c r="H291" s="838" t="str">
        <f t="shared" si="7"/>
        <v>Le plat été trop sec et les eleves on pas aimé.</v>
      </c>
      <c r="I291" s="838"/>
      <c r="J291" s="838"/>
      <c r="K291" s="838"/>
      <c r="L291" s="838"/>
      <c r="M291" s="838"/>
      <c r="N291" s="838"/>
      <c r="O291" s="838"/>
      <c r="P291" s="838"/>
      <c r="Q291" s="838"/>
      <c r="R291" s="838"/>
      <c r="S291" s="838"/>
      <c r="T291" s="838"/>
      <c r="U291" s="838"/>
      <c r="V291" s="838"/>
      <c r="W291" s="839"/>
    </row>
    <row r="292" spans="1:23" ht="30" customHeight="1" thickBot="1" x14ac:dyDescent="0.3">
      <c r="A292" s="271">
        <v>283</v>
      </c>
      <c r="B292" s="1105" t="s">
        <v>4177</v>
      </c>
      <c r="C292" s="1105"/>
      <c r="D292" s="1105"/>
      <c r="E292" s="1105"/>
      <c r="F292" s="1105"/>
      <c r="G292" s="1106"/>
      <c r="H292" s="838" t="str">
        <f t="shared" si="7"/>
        <v>Le plat n’était pas bon, même avec la sauce.</v>
      </c>
      <c r="I292" s="838"/>
      <c r="J292" s="838"/>
      <c r="K292" s="838"/>
      <c r="L292" s="838"/>
      <c r="M292" s="838"/>
      <c r="N292" s="838"/>
      <c r="O292" s="838"/>
      <c r="P292" s="838"/>
      <c r="Q292" s="838"/>
      <c r="R292" s="838"/>
      <c r="S292" s="838"/>
      <c r="T292" s="838"/>
      <c r="U292" s="838"/>
      <c r="V292" s="838"/>
      <c r="W292" s="839"/>
    </row>
    <row r="293" spans="1:23" ht="30" customHeight="1" thickBot="1" x14ac:dyDescent="0.3">
      <c r="A293" s="271">
        <v>284</v>
      </c>
      <c r="B293" s="1105" t="s">
        <v>4185</v>
      </c>
      <c r="C293" s="1105"/>
      <c r="D293" s="1105"/>
      <c r="E293" s="1105"/>
      <c r="F293" s="1105"/>
      <c r="G293" s="1106"/>
      <c r="H293" s="838" t="str">
        <f t="shared" si="7"/>
        <v>Le plat n’était pas sec, mais il manquait de goût.</v>
      </c>
      <c r="I293" s="838"/>
      <c r="J293" s="838"/>
      <c r="K293" s="838"/>
      <c r="L293" s="838"/>
      <c r="M293" s="838"/>
      <c r="N293" s="838"/>
      <c r="O293" s="838"/>
      <c r="P293" s="838"/>
      <c r="Q293" s="838"/>
      <c r="R293" s="838"/>
      <c r="S293" s="838"/>
      <c r="T293" s="838"/>
      <c r="U293" s="838"/>
      <c r="V293" s="838"/>
      <c r="W293" s="839"/>
    </row>
    <row r="294" spans="1:23" ht="30" customHeight="1" thickBot="1" x14ac:dyDescent="0.3">
      <c r="A294" s="271">
        <v>285</v>
      </c>
      <c r="B294" s="1105" t="s">
        <v>3245</v>
      </c>
      <c r="C294" s="1105"/>
      <c r="D294" s="1105"/>
      <c r="E294" s="1105"/>
      <c r="F294" s="1105"/>
      <c r="G294" s="1106"/>
      <c r="H294" s="838" t="str">
        <f t="shared" si="7"/>
        <v>Le plat végétal contient lentilles, céréale, légumes et sauce ; il faut vérifier l’équilibre du repas.</v>
      </c>
      <c r="I294" s="838"/>
      <c r="J294" s="838"/>
      <c r="K294" s="838"/>
      <c r="L294" s="838"/>
      <c r="M294" s="838"/>
      <c r="N294" s="838"/>
      <c r="O294" s="838"/>
      <c r="P294" s="838"/>
      <c r="Q294" s="838"/>
      <c r="R294" s="838"/>
      <c r="S294" s="838"/>
      <c r="T294" s="838"/>
      <c r="U294" s="838"/>
      <c r="V294" s="838"/>
      <c r="W294" s="839"/>
    </row>
    <row r="295" spans="1:23" ht="30" customHeight="1" thickBot="1" x14ac:dyDescent="0.3">
      <c r="A295" s="271">
        <v>286</v>
      </c>
      <c r="B295" s="1105" t="s">
        <v>4304</v>
      </c>
      <c r="C295" s="1105"/>
      <c r="D295" s="1105"/>
      <c r="E295" s="1105"/>
      <c r="F295" s="1105"/>
      <c r="G295" s="1106"/>
      <c r="H295" s="838" t="str">
        <f t="shared" si="7"/>
        <v>Le plat végétal doit donner envie à tout le monde, pas seulement aux végétariens.</v>
      </c>
      <c r="I295" s="838"/>
      <c r="J295" s="838"/>
      <c r="K295" s="838"/>
      <c r="L295" s="838"/>
      <c r="M295" s="838"/>
      <c r="N295" s="838"/>
      <c r="O295" s="838"/>
      <c r="P295" s="838"/>
      <c r="Q295" s="838"/>
      <c r="R295" s="838"/>
      <c r="S295" s="838"/>
      <c r="T295" s="838"/>
      <c r="U295" s="838"/>
      <c r="V295" s="838"/>
      <c r="W295" s="839"/>
    </row>
    <row r="296" spans="1:23" ht="30" customHeight="1" thickBot="1" x14ac:dyDescent="0.3">
      <c r="A296" s="271">
        <v>287</v>
      </c>
      <c r="B296" s="1105" t="s">
        <v>3452</v>
      </c>
      <c r="C296" s="1105"/>
      <c r="D296" s="1105"/>
      <c r="E296" s="1105"/>
      <c r="F296" s="1105"/>
      <c r="G296" s="1106"/>
      <c r="H296" s="838" t="str">
        <f t="shared" si="7"/>
        <v>Le plat végétal doit rester lisible, avec des ingrédients que les convives peuvent reconnaître.</v>
      </c>
      <c r="I296" s="838"/>
      <c r="J296" s="838"/>
      <c r="K296" s="838"/>
      <c r="L296" s="838"/>
      <c r="M296" s="838"/>
      <c r="N296" s="838"/>
      <c r="O296" s="838"/>
      <c r="P296" s="838"/>
      <c r="Q296" s="838"/>
      <c r="R296" s="838"/>
      <c r="S296" s="838"/>
      <c r="T296" s="838"/>
      <c r="U296" s="838"/>
      <c r="V296" s="838"/>
      <c r="W296" s="839"/>
    </row>
    <row r="297" spans="1:23" ht="30" customHeight="1" thickBot="1" x14ac:dyDescent="0.3">
      <c r="A297" s="271">
        <v>288</v>
      </c>
      <c r="B297" s="1105" t="s">
        <v>3242</v>
      </c>
      <c r="C297" s="1105"/>
      <c r="D297" s="1105"/>
      <c r="E297" s="1105"/>
      <c r="F297" s="1105"/>
      <c r="G297" s="1106"/>
      <c r="H297" s="838" t="str">
        <f t="shared" si="7"/>
        <v>Le plat végétal est présenté sans culpabiliser les convives et sans opposer viande et végétal.</v>
      </c>
      <c r="I297" s="838"/>
      <c r="J297" s="838"/>
      <c r="K297" s="838"/>
      <c r="L297" s="838"/>
      <c r="M297" s="838"/>
      <c r="N297" s="838"/>
      <c r="O297" s="838"/>
      <c r="P297" s="838"/>
      <c r="Q297" s="838"/>
      <c r="R297" s="838"/>
      <c r="S297" s="838"/>
      <c r="T297" s="838"/>
      <c r="U297" s="838"/>
      <c r="V297" s="838"/>
      <c r="W297" s="839"/>
    </row>
    <row r="298" spans="1:23" ht="30" customHeight="1" thickBot="1" x14ac:dyDescent="0.3">
      <c r="A298" s="271">
        <v>289</v>
      </c>
      <c r="B298" s="1105" t="s">
        <v>4056</v>
      </c>
      <c r="C298" s="1105"/>
      <c r="D298" s="1105"/>
      <c r="E298" s="1105"/>
      <c r="F298" s="1105"/>
      <c r="G298" s="1106"/>
      <c r="H298" s="838" t="str">
        <f t="shared" si="7"/>
        <v>Le plat végétal était correct, mais il ne donnait pas envie.</v>
      </c>
      <c r="I298" s="838"/>
      <c r="J298" s="838"/>
      <c r="K298" s="838"/>
      <c r="L298" s="838"/>
      <c r="M298" s="838"/>
      <c r="N298" s="838"/>
      <c r="O298" s="838"/>
      <c r="P298" s="838"/>
      <c r="Q298" s="838"/>
      <c r="R298" s="838"/>
      <c r="S298" s="838"/>
      <c r="T298" s="838"/>
      <c r="U298" s="838"/>
      <c r="V298" s="838"/>
      <c r="W298" s="839"/>
    </row>
    <row r="299" spans="1:23" ht="30" customHeight="1" thickBot="1" x14ac:dyDescent="0.3">
      <c r="A299" s="271">
        <v>290</v>
      </c>
      <c r="B299" s="1105" t="s">
        <v>4166</v>
      </c>
      <c r="C299" s="1105"/>
      <c r="D299" s="1105"/>
      <c r="E299" s="1105"/>
      <c r="F299" s="1105"/>
      <c r="G299" s="1106"/>
      <c r="H299" s="838" t="str">
        <f t="shared" si="7"/>
        <v>Le plat végétal ne doit pas être présenté comme une punition, sinon les élèves le refusent avant de goûter.</v>
      </c>
      <c r="I299" s="838"/>
      <c r="J299" s="838"/>
      <c r="K299" s="838"/>
      <c r="L299" s="838"/>
      <c r="M299" s="838"/>
      <c r="N299" s="838"/>
      <c r="O299" s="838"/>
      <c r="P299" s="838"/>
      <c r="Q299" s="838"/>
      <c r="R299" s="838"/>
      <c r="S299" s="838"/>
      <c r="T299" s="838"/>
      <c r="U299" s="838"/>
      <c r="V299" s="838"/>
      <c r="W299" s="839"/>
    </row>
    <row r="300" spans="1:23" ht="30" customHeight="1" thickBot="1" x14ac:dyDescent="0.3">
      <c r="A300" s="271">
        <v>291</v>
      </c>
      <c r="B300" s="1105" t="s">
        <v>4345</v>
      </c>
      <c r="C300" s="1105"/>
      <c r="D300" s="1105"/>
      <c r="E300" s="1105"/>
      <c r="F300" s="1105"/>
      <c r="G300" s="1106"/>
      <c r="H300" s="838" t="str">
        <f t="shared" si="7"/>
        <v>Le plat végétal peut être accepté le midi mais refusé le soir si la sauce manque ou si la texture est trop sèche.</v>
      </c>
      <c r="I300" s="838"/>
      <c r="J300" s="838"/>
      <c r="K300" s="838"/>
      <c r="L300" s="838"/>
      <c r="M300" s="838"/>
      <c r="N300" s="838"/>
      <c r="O300" s="838"/>
      <c r="P300" s="838"/>
      <c r="Q300" s="838"/>
      <c r="R300" s="838"/>
      <c r="S300" s="838"/>
      <c r="T300" s="838"/>
      <c r="U300" s="838"/>
      <c r="V300" s="838"/>
      <c r="W300" s="839"/>
    </row>
    <row r="301" spans="1:23" ht="30" customHeight="1" thickBot="1" x14ac:dyDescent="0.3">
      <c r="A301" s="271">
        <v>292</v>
      </c>
      <c r="B301" s="1105" t="s">
        <v>4100</v>
      </c>
      <c r="C301" s="1105"/>
      <c r="D301" s="1105"/>
      <c r="E301" s="1105"/>
      <c r="F301" s="1105"/>
      <c r="G301" s="1106"/>
      <c r="H301" s="838" t="str">
        <f t="shared" si="7"/>
        <v>Le plat végétale etait pas expliquer au self.</v>
      </c>
      <c r="I301" s="838"/>
      <c r="J301" s="838"/>
      <c r="K301" s="838"/>
      <c r="L301" s="838"/>
      <c r="M301" s="838"/>
      <c r="N301" s="838"/>
      <c r="O301" s="838"/>
      <c r="P301" s="838"/>
      <c r="Q301" s="838"/>
      <c r="R301" s="838"/>
      <c r="S301" s="838"/>
      <c r="T301" s="838"/>
      <c r="U301" s="838"/>
      <c r="V301" s="838"/>
      <c r="W301" s="839"/>
    </row>
    <row r="302" spans="1:23" ht="30" customHeight="1" thickBot="1" x14ac:dyDescent="0.3">
      <c r="A302" s="271">
        <v>293</v>
      </c>
      <c r="B302" s="1105" t="s">
        <v>3348</v>
      </c>
      <c r="C302" s="1105"/>
      <c r="D302" s="1105"/>
      <c r="E302" s="1105"/>
      <c r="F302" s="1105"/>
      <c r="G302" s="1106"/>
      <c r="H302" s="838" t="str">
        <f t="shared" si="7"/>
        <v>Le prix matière ne suffit pas pour juger une recette, il faut aussi regarder le temps de travail et les pertes.</v>
      </c>
      <c r="I302" s="838"/>
      <c r="J302" s="838"/>
      <c r="K302" s="838"/>
      <c r="L302" s="838"/>
      <c r="M302" s="838"/>
      <c r="N302" s="838"/>
      <c r="O302" s="838"/>
      <c r="P302" s="838"/>
      <c r="Q302" s="838"/>
      <c r="R302" s="838"/>
      <c r="S302" s="838"/>
      <c r="T302" s="838"/>
      <c r="U302" s="838"/>
      <c r="V302" s="838"/>
      <c r="W302" s="839"/>
    </row>
    <row r="303" spans="1:23" ht="30" customHeight="1" thickBot="1" x14ac:dyDescent="0.3">
      <c r="A303" s="271">
        <v>294</v>
      </c>
      <c r="B303" s="1105" t="s">
        <v>4309</v>
      </c>
      <c r="C303" s="1105"/>
      <c r="D303" s="1105"/>
      <c r="E303" s="1105"/>
      <c r="F303" s="1105"/>
      <c r="G303" s="1106"/>
      <c r="H303" s="838" t="str">
        <f t="shared" si="7"/>
        <v>Le quinoa et le sarrasin peuvent compléter une légumineuse, mais il faut vérifier le coût et si les élèves aiment.</v>
      </c>
      <c r="I303" s="838"/>
      <c r="J303" s="838"/>
      <c r="K303" s="838"/>
      <c r="L303" s="838"/>
      <c r="M303" s="838"/>
      <c r="N303" s="838"/>
      <c r="O303" s="838"/>
      <c r="P303" s="838"/>
      <c r="Q303" s="838"/>
      <c r="R303" s="838"/>
      <c r="S303" s="838"/>
      <c r="T303" s="838"/>
      <c r="U303" s="838"/>
      <c r="V303" s="838"/>
      <c r="W303" s="839"/>
    </row>
    <row r="304" spans="1:23" ht="30" customHeight="1" thickBot="1" x14ac:dyDescent="0.3">
      <c r="A304" s="271">
        <v>295</v>
      </c>
      <c r="B304" s="1105" t="s">
        <v>3236</v>
      </c>
      <c r="C304" s="1105"/>
      <c r="D304" s="1105"/>
      <c r="E304" s="1105"/>
      <c r="F304" s="1105"/>
      <c r="G304" s="1106"/>
      <c r="H304" s="838" t="str">
        <f t="shared" si="7"/>
        <v>Le quinoa et le sarrasin sont testés avec des légumes et une sauce, mais le coût portion doit rester acceptable.</v>
      </c>
      <c r="I304" s="838"/>
      <c r="J304" s="838"/>
      <c r="K304" s="838"/>
      <c r="L304" s="838"/>
      <c r="M304" s="838"/>
      <c r="N304" s="838"/>
      <c r="O304" s="838"/>
      <c r="P304" s="838"/>
      <c r="Q304" s="838"/>
      <c r="R304" s="838"/>
      <c r="S304" s="838"/>
      <c r="T304" s="838"/>
      <c r="U304" s="838"/>
      <c r="V304" s="838"/>
      <c r="W304" s="839"/>
    </row>
    <row r="305" spans="1:23" ht="30" customHeight="1" thickBot="1" x14ac:dyDescent="0.3">
      <c r="A305" s="271">
        <v>296</v>
      </c>
      <c r="B305" s="1105" t="s">
        <v>3362</v>
      </c>
      <c r="C305" s="1105"/>
      <c r="D305" s="1105"/>
      <c r="E305" s="1105"/>
      <c r="F305" s="1105"/>
      <c r="G305" s="1106"/>
      <c r="H305" s="838" t="str">
        <f t="shared" si="7"/>
        <v>Le quinoa peut compléter une recette mais son coût portion doit être surveillé.</v>
      </c>
      <c r="I305" s="838"/>
      <c r="J305" s="838"/>
      <c r="K305" s="838"/>
      <c r="L305" s="838"/>
      <c r="M305" s="838"/>
      <c r="N305" s="838"/>
      <c r="O305" s="838"/>
      <c r="P305" s="838"/>
      <c r="Q305" s="838"/>
      <c r="R305" s="838"/>
      <c r="S305" s="838"/>
      <c r="T305" s="838"/>
      <c r="U305" s="838"/>
      <c r="V305" s="838"/>
      <c r="W305" s="839"/>
    </row>
    <row r="306" spans="1:23" ht="30" customHeight="1" thickBot="1" x14ac:dyDescent="0.3">
      <c r="A306" s="271">
        <v>297</v>
      </c>
      <c r="B306" s="1105" t="s">
        <v>3422</v>
      </c>
      <c r="C306" s="1105"/>
      <c r="D306" s="1105"/>
      <c r="E306" s="1105"/>
      <c r="F306" s="1105"/>
      <c r="G306" s="1106"/>
      <c r="H306" s="838" t="str">
        <f t="shared" si="7"/>
        <v>Le retour des convives aide à décider si la recette doit être gardée, corrigée ou retirée.</v>
      </c>
      <c r="I306" s="838"/>
      <c r="J306" s="838"/>
      <c r="K306" s="838"/>
      <c r="L306" s="838"/>
      <c r="M306" s="838"/>
      <c r="N306" s="838"/>
      <c r="O306" s="838"/>
      <c r="P306" s="838"/>
      <c r="Q306" s="838"/>
      <c r="R306" s="838"/>
      <c r="S306" s="838"/>
      <c r="T306" s="838"/>
      <c r="U306" s="838"/>
      <c r="V306" s="838"/>
      <c r="W306" s="839"/>
    </row>
    <row r="307" spans="1:23" ht="30" customHeight="1" thickBot="1" x14ac:dyDescent="0.3">
      <c r="A307" s="271">
        <v>298</v>
      </c>
      <c r="B307" s="1105" t="s">
        <v>3404</v>
      </c>
      <c r="C307" s="1105"/>
      <c r="D307" s="1105"/>
      <c r="E307" s="1105"/>
      <c r="F307" s="1105"/>
      <c r="G307" s="1106"/>
      <c r="H307" s="838" t="str">
        <f t="shared" si="7"/>
        <v>Le rinçage des légumineuses en conserve peut améliorer le goût et limiter l’excès de sel.</v>
      </c>
      <c r="I307" s="838"/>
      <c r="J307" s="838"/>
      <c r="K307" s="838"/>
      <c r="L307" s="838"/>
      <c r="M307" s="838"/>
      <c r="N307" s="838"/>
      <c r="O307" s="838"/>
      <c r="P307" s="838"/>
      <c r="Q307" s="838"/>
      <c r="R307" s="838"/>
      <c r="S307" s="838"/>
      <c r="T307" s="838"/>
      <c r="U307" s="838"/>
      <c r="V307" s="838"/>
      <c r="W307" s="839"/>
    </row>
    <row r="308" spans="1:23" ht="30" customHeight="1" thickBot="1" x14ac:dyDescent="0.3">
      <c r="A308" s="271">
        <v>299</v>
      </c>
      <c r="B308" s="1105" t="s">
        <v>3304</v>
      </c>
      <c r="C308" s="1105"/>
      <c r="D308" s="1105"/>
      <c r="E308" s="1105"/>
      <c r="F308" s="1105"/>
      <c r="G308" s="1106"/>
      <c r="H308" s="838" t="str">
        <f t="shared" si="7"/>
        <v>Le riz, le blé, le boulgour ou la semoule peuvent accompagner les légumineuses selon la recette.</v>
      </c>
      <c r="I308" s="838"/>
      <c r="J308" s="838"/>
      <c r="K308" s="838"/>
      <c r="L308" s="838"/>
      <c r="M308" s="838"/>
      <c r="N308" s="838"/>
      <c r="O308" s="838"/>
      <c r="P308" s="838"/>
      <c r="Q308" s="838"/>
      <c r="R308" s="838"/>
      <c r="S308" s="838"/>
      <c r="T308" s="838"/>
      <c r="U308" s="838"/>
      <c r="V308" s="838"/>
      <c r="W308" s="839"/>
    </row>
    <row r="309" spans="1:23" ht="30" customHeight="1" thickBot="1" x14ac:dyDescent="0.3">
      <c r="A309" s="271">
        <v>300</v>
      </c>
      <c r="B309" s="1105" t="s">
        <v>3364</v>
      </c>
      <c r="C309" s="1105"/>
      <c r="D309" s="1105"/>
      <c r="E309" s="1105"/>
      <c r="F309" s="1105"/>
      <c r="G309" s="1106"/>
      <c r="H309" s="838" t="str">
        <f t="shared" si="7"/>
        <v>Le sarrasin apporte un goût différent mais il peut surprendre les convives.</v>
      </c>
      <c r="I309" s="838"/>
      <c r="J309" s="838"/>
      <c r="K309" s="838"/>
      <c r="L309" s="838"/>
      <c r="M309" s="838"/>
      <c r="N309" s="838"/>
      <c r="O309" s="838"/>
      <c r="P309" s="838"/>
      <c r="Q309" s="838"/>
      <c r="R309" s="838"/>
      <c r="S309" s="838"/>
      <c r="T309" s="838"/>
      <c r="U309" s="838"/>
      <c r="V309" s="838"/>
      <c r="W309" s="839"/>
    </row>
    <row r="310" spans="1:23" ht="30" customHeight="1" thickBot="1" x14ac:dyDescent="0.3">
      <c r="A310" s="271">
        <v>301</v>
      </c>
      <c r="B310" s="1105" t="s">
        <v>4339</v>
      </c>
      <c r="C310" s="1105"/>
      <c r="D310" s="1105"/>
      <c r="E310" s="1105"/>
      <c r="F310" s="1105"/>
      <c r="G310" s="1106"/>
      <c r="H310" s="838" t="str">
        <f t="shared" si="7"/>
        <v>Le seitan a une texture ferme, mais il contient du gluten et doit plutôt être servi avec une sauce.</v>
      </c>
      <c r="I310" s="838"/>
      <c r="J310" s="838"/>
      <c r="K310" s="838"/>
      <c r="L310" s="838"/>
      <c r="M310" s="838"/>
      <c r="N310" s="838"/>
      <c r="O310" s="838"/>
      <c r="P310" s="838"/>
      <c r="Q310" s="838"/>
      <c r="R310" s="838"/>
      <c r="S310" s="838"/>
      <c r="T310" s="838"/>
      <c r="U310" s="838"/>
      <c r="V310" s="838"/>
      <c r="W310" s="839"/>
    </row>
    <row r="311" spans="1:23" ht="30" customHeight="1" thickBot="1" x14ac:dyDescent="0.3">
      <c r="A311" s="271">
        <v>302</v>
      </c>
      <c r="B311" s="1105" t="s">
        <v>4288</v>
      </c>
      <c r="C311" s="1105"/>
      <c r="D311" s="1105"/>
      <c r="E311" s="1105"/>
      <c r="F311" s="1105"/>
      <c r="G311" s="1106"/>
      <c r="H311" s="838" t="str">
        <f t="shared" si="7"/>
        <v>Le seitan contient du gluten, donc il faut l’afficher clairement et prévoir autre chose pour ceux qui ne peuvent pas en manger.</v>
      </c>
      <c r="I311" s="838"/>
      <c r="J311" s="838"/>
      <c r="K311" s="838"/>
      <c r="L311" s="838"/>
      <c r="M311" s="838"/>
      <c r="N311" s="838"/>
      <c r="O311" s="838"/>
      <c r="P311" s="838"/>
      <c r="Q311" s="838"/>
      <c r="R311" s="838"/>
      <c r="S311" s="838"/>
      <c r="T311" s="838"/>
      <c r="U311" s="838"/>
      <c r="V311" s="838"/>
      <c r="W311" s="839"/>
    </row>
    <row r="312" spans="1:23" ht="30" customHeight="1" thickBot="1" x14ac:dyDescent="0.3">
      <c r="A312" s="271">
        <v>303</v>
      </c>
      <c r="B312" s="1105" t="s">
        <v>3290</v>
      </c>
      <c r="C312" s="1105"/>
      <c r="D312" s="1105"/>
      <c r="E312" s="1105"/>
      <c r="F312" s="1105"/>
      <c r="G312" s="1106"/>
      <c r="H312" s="838" t="str">
        <f t="shared" ref="H312:H375" si="8">B312</f>
        <v>Le seitan contient du gluten, donc il ne convient pas aux personnes qui doivent éviter le gluten.</v>
      </c>
      <c r="I312" s="838"/>
      <c r="J312" s="838"/>
      <c r="K312" s="838"/>
      <c r="L312" s="838"/>
      <c r="M312" s="838"/>
      <c r="N312" s="838"/>
      <c r="O312" s="838"/>
      <c r="P312" s="838"/>
      <c r="Q312" s="838"/>
      <c r="R312" s="838"/>
      <c r="S312" s="838"/>
      <c r="T312" s="838"/>
      <c r="U312" s="838"/>
      <c r="V312" s="838"/>
      <c r="W312" s="839"/>
    </row>
    <row r="313" spans="1:23" ht="30" customHeight="1" thickBot="1" x14ac:dyDescent="0.3">
      <c r="A313" s="271">
        <v>304</v>
      </c>
      <c r="B313" s="1105" t="s">
        <v>3999</v>
      </c>
      <c r="C313" s="1105"/>
      <c r="D313" s="1105"/>
      <c r="E313" s="1105"/>
      <c r="F313" s="1105"/>
      <c r="G313" s="1106"/>
      <c r="H313" s="838" t="str">
        <f t="shared" si="8"/>
        <v>Le seitan contient du gluten, il faut le dire aux élèves.</v>
      </c>
      <c r="I313" s="838"/>
      <c r="J313" s="838"/>
      <c r="K313" s="838"/>
      <c r="L313" s="838"/>
      <c r="M313" s="838"/>
      <c r="N313" s="838"/>
      <c r="O313" s="838"/>
      <c r="P313" s="838"/>
      <c r="Q313" s="838"/>
      <c r="R313" s="838"/>
      <c r="S313" s="838"/>
      <c r="T313" s="838"/>
      <c r="U313" s="838"/>
      <c r="V313" s="838"/>
      <c r="W313" s="839"/>
    </row>
    <row r="314" spans="1:23" ht="30" customHeight="1" thickBot="1" x14ac:dyDescent="0.3">
      <c r="A314" s="271">
        <v>305</v>
      </c>
      <c r="B314" s="1105" t="s">
        <v>4359</v>
      </c>
      <c r="C314" s="1105"/>
      <c r="D314" s="1105"/>
      <c r="E314" s="1105"/>
      <c r="F314" s="1105"/>
      <c r="G314" s="1106"/>
      <c r="H314" s="838" t="str">
        <f t="shared" si="8"/>
        <v>Le seitan est riche en gluten, donc il ne peut pas servir d’alternative pour tout le monde.</v>
      </c>
      <c r="I314" s="838"/>
      <c r="J314" s="838"/>
      <c r="K314" s="838"/>
      <c r="L314" s="838"/>
      <c r="M314" s="838"/>
      <c r="N314" s="838"/>
      <c r="O314" s="838"/>
      <c r="P314" s="838"/>
      <c r="Q314" s="838"/>
      <c r="R314" s="838"/>
      <c r="S314" s="838"/>
      <c r="T314" s="838"/>
      <c r="U314" s="838"/>
      <c r="V314" s="838"/>
      <c r="W314" s="839"/>
    </row>
    <row r="315" spans="1:23" ht="30" customHeight="1" thickBot="1" x14ac:dyDescent="0.3">
      <c r="A315" s="271">
        <v>306</v>
      </c>
      <c r="B315" s="1105" t="s">
        <v>4108</v>
      </c>
      <c r="C315" s="1105"/>
      <c r="D315" s="1105"/>
      <c r="E315" s="1105"/>
      <c r="F315" s="1105"/>
      <c r="G315" s="1106"/>
      <c r="H315" s="838" t="str">
        <f t="shared" si="8"/>
        <v>Le seitan ya du gluten donc attention.</v>
      </c>
      <c r="I315" s="838"/>
      <c r="J315" s="838"/>
      <c r="K315" s="838"/>
      <c r="L315" s="838"/>
      <c r="M315" s="838"/>
      <c r="N315" s="838"/>
      <c r="O315" s="838"/>
      <c r="P315" s="838"/>
      <c r="Q315" s="838"/>
      <c r="R315" s="838"/>
      <c r="S315" s="838"/>
      <c r="T315" s="838"/>
      <c r="U315" s="838"/>
      <c r="V315" s="838"/>
      <c r="W315" s="839"/>
    </row>
    <row r="316" spans="1:23" ht="30" customHeight="1" thickBot="1" x14ac:dyDescent="0.3">
      <c r="A316" s="271">
        <v>307</v>
      </c>
      <c r="B316" s="1105" t="s">
        <v>3412</v>
      </c>
      <c r="C316" s="1105"/>
      <c r="D316" s="1105"/>
      <c r="E316" s="1105"/>
      <c r="F316" s="1105"/>
      <c r="G316" s="1106"/>
      <c r="H316" s="838" t="str">
        <f t="shared" si="8"/>
        <v>Le service doit savoir expliquer simplement ce qu’il y a dans le plat.</v>
      </c>
      <c r="I316" s="838"/>
      <c r="J316" s="838"/>
      <c r="K316" s="838"/>
      <c r="L316" s="838"/>
      <c r="M316" s="838"/>
      <c r="N316" s="838"/>
      <c r="O316" s="838"/>
      <c r="P316" s="838"/>
      <c r="Q316" s="838"/>
      <c r="R316" s="838"/>
      <c r="S316" s="838"/>
      <c r="T316" s="838"/>
      <c r="U316" s="838"/>
      <c r="V316" s="838"/>
      <c r="W316" s="839"/>
    </row>
    <row r="317" spans="1:23" ht="30" customHeight="1" thickBot="1" x14ac:dyDescent="0.3">
      <c r="A317" s="271">
        <v>308</v>
      </c>
      <c r="B317" s="1105" t="s">
        <v>3328</v>
      </c>
      <c r="C317" s="1105"/>
      <c r="D317" s="1105"/>
      <c r="E317" s="1105"/>
      <c r="F317" s="1105"/>
      <c r="G317" s="1106"/>
      <c r="H317" s="838" t="str">
        <f t="shared" si="8"/>
        <v>Le soja doit être signalé dans les recettes avec tofu, protéines de soja ou sauce soja.</v>
      </c>
      <c r="I317" s="838"/>
      <c r="J317" s="838"/>
      <c r="K317" s="838"/>
      <c r="L317" s="838"/>
      <c r="M317" s="838"/>
      <c r="N317" s="838"/>
      <c r="O317" s="838"/>
      <c r="P317" s="838"/>
      <c r="Q317" s="838"/>
      <c r="R317" s="838"/>
      <c r="S317" s="838"/>
      <c r="T317" s="838"/>
      <c r="U317" s="838"/>
      <c r="V317" s="838"/>
      <c r="W317" s="839"/>
    </row>
    <row r="318" spans="1:23" ht="30" customHeight="1" thickBot="1" x14ac:dyDescent="0.3">
      <c r="A318" s="271">
        <v>309</v>
      </c>
      <c r="B318" s="1105" t="s">
        <v>3235</v>
      </c>
      <c r="C318" s="1105"/>
      <c r="D318" s="1105"/>
      <c r="E318" s="1105"/>
      <c r="F318" s="1105"/>
      <c r="G318" s="1106"/>
      <c r="H318" s="838" t="str">
        <f t="shared" si="8"/>
        <v>Le soja et le lupin doivent être indiqués clairement si la recette en contient.</v>
      </c>
      <c r="I318" s="838"/>
      <c r="J318" s="838"/>
      <c r="K318" s="838"/>
      <c r="L318" s="838"/>
      <c r="M318" s="838"/>
      <c r="N318" s="838"/>
      <c r="O318" s="838"/>
      <c r="P318" s="838"/>
      <c r="Q318" s="838"/>
      <c r="R318" s="838"/>
      <c r="S318" s="838"/>
      <c r="T318" s="838"/>
      <c r="U318" s="838"/>
      <c r="V318" s="838"/>
      <c r="W318" s="839"/>
    </row>
    <row r="319" spans="1:23" ht="30" customHeight="1" thickBot="1" x14ac:dyDescent="0.3">
      <c r="A319" s="271">
        <v>310</v>
      </c>
      <c r="B319" s="1105" t="s">
        <v>4111</v>
      </c>
      <c r="C319" s="1105"/>
      <c r="D319" s="1105"/>
      <c r="E319" s="1105"/>
      <c r="F319" s="1105"/>
      <c r="G319" s="1106"/>
      <c r="H319" s="838" t="str">
        <f t="shared" si="8"/>
        <v>Le soja faut le marqué sur l’affiche.</v>
      </c>
      <c r="I319" s="838"/>
      <c r="J319" s="838"/>
      <c r="K319" s="838"/>
      <c r="L319" s="838"/>
      <c r="M319" s="838"/>
      <c r="N319" s="838"/>
      <c r="O319" s="838"/>
      <c r="P319" s="838"/>
      <c r="Q319" s="838"/>
      <c r="R319" s="838"/>
      <c r="S319" s="838"/>
      <c r="T319" s="838"/>
      <c r="U319" s="838"/>
      <c r="V319" s="838"/>
      <c r="W319" s="839"/>
    </row>
    <row r="320" spans="1:23" ht="30" customHeight="1" thickBot="1" x14ac:dyDescent="0.3">
      <c r="A320" s="271">
        <v>311</v>
      </c>
      <c r="B320" s="1105" t="s">
        <v>4290</v>
      </c>
      <c r="C320" s="1105"/>
      <c r="D320" s="1105"/>
      <c r="E320" s="1105"/>
      <c r="F320" s="1105"/>
      <c r="G320" s="1106"/>
      <c r="H320" s="838" t="str">
        <f t="shared" si="8"/>
        <v>Le tempeh a un goût fort, donc il faut le tester avant d’en mettre souvent au menu.</v>
      </c>
      <c r="I320" s="838"/>
      <c r="J320" s="838"/>
      <c r="K320" s="838"/>
      <c r="L320" s="838"/>
      <c r="M320" s="838"/>
      <c r="N320" s="838"/>
      <c r="O320" s="838"/>
      <c r="P320" s="838"/>
      <c r="Q320" s="838"/>
      <c r="R320" s="838"/>
      <c r="S320" s="838"/>
      <c r="T320" s="838"/>
      <c r="U320" s="838"/>
      <c r="V320" s="838"/>
      <c r="W320" s="839"/>
    </row>
    <row r="321" spans="1:23" ht="30" customHeight="1" thickBot="1" x14ac:dyDescent="0.3">
      <c r="A321" s="271">
        <v>312</v>
      </c>
      <c r="B321" s="1105" t="s">
        <v>3280</v>
      </c>
      <c r="C321" s="1105"/>
      <c r="D321" s="1105"/>
      <c r="E321" s="1105"/>
      <c r="F321" s="1105"/>
      <c r="G321" s="1106"/>
      <c r="H321" s="838" t="str">
        <f t="shared" si="8"/>
        <v>Le tempeh a un goût plus fort que le tofu, donc il faut le tester avant de le servir à beaucoup de convives.</v>
      </c>
      <c r="I321" s="838"/>
      <c r="J321" s="838"/>
      <c r="K321" s="838"/>
      <c r="L321" s="838"/>
      <c r="M321" s="838"/>
      <c r="N321" s="838"/>
      <c r="O321" s="838"/>
      <c r="P321" s="838"/>
      <c r="Q321" s="838"/>
      <c r="R321" s="838"/>
      <c r="S321" s="838"/>
      <c r="T321" s="838"/>
      <c r="U321" s="838"/>
      <c r="V321" s="838"/>
      <c r="W321" s="839"/>
    </row>
    <row r="322" spans="1:23" ht="30" customHeight="1" thickBot="1" x14ac:dyDescent="0.3">
      <c r="A322" s="271">
        <v>313</v>
      </c>
      <c r="B322" s="1105" t="s">
        <v>4034</v>
      </c>
      <c r="C322" s="1105"/>
      <c r="D322" s="1105"/>
      <c r="E322" s="1105"/>
      <c r="F322" s="1105"/>
      <c r="G322" s="1106"/>
      <c r="H322" s="838" t="str">
        <f t="shared" si="8"/>
        <v>Le tofu doit être mariné sinon il n’a pas assez de goût.</v>
      </c>
      <c r="I322" s="838"/>
      <c r="J322" s="838"/>
      <c r="K322" s="838"/>
      <c r="L322" s="838"/>
      <c r="M322" s="838"/>
      <c r="N322" s="838"/>
      <c r="O322" s="838"/>
      <c r="P322" s="838"/>
      <c r="Q322" s="838"/>
      <c r="R322" s="838"/>
      <c r="S322" s="838"/>
      <c r="T322" s="838"/>
      <c r="U322" s="838"/>
      <c r="V322" s="838"/>
      <c r="W322" s="839"/>
    </row>
    <row r="323" spans="1:23" ht="30" customHeight="1" thickBot="1" x14ac:dyDescent="0.3">
      <c r="A323" s="271">
        <v>314</v>
      </c>
      <c r="B323" s="1105" t="s">
        <v>3247</v>
      </c>
      <c r="C323" s="1105"/>
      <c r="D323" s="1105"/>
      <c r="E323" s="1105"/>
      <c r="F323" s="1105"/>
      <c r="G323" s="1106"/>
      <c r="H323" s="838" t="str">
        <f t="shared" si="8"/>
        <v>Le tofu est servi sans sauce : les convives disent que le goût est trop neutre et la satisfaction est faible.</v>
      </c>
      <c r="I323" s="838"/>
      <c r="J323" s="838"/>
      <c r="K323" s="838"/>
      <c r="L323" s="838"/>
      <c r="M323" s="838"/>
      <c r="N323" s="838"/>
      <c r="O323" s="838"/>
      <c r="P323" s="838"/>
      <c r="Q323" s="838"/>
      <c r="R323" s="838"/>
      <c r="S323" s="838"/>
      <c r="T323" s="838"/>
      <c r="U323" s="838"/>
      <c r="V323" s="838"/>
      <c r="W323" s="839"/>
    </row>
    <row r="324" spans="1:23" ht="30" customHeight="1" thickBot="1" x14ac:dyDescent="0.3">
      <c r="A324" s="271">
        <v>315</v>
      </c>
      <c r="B324" s="1105" t="s">
        <v>4285</v>
      </c>
      <c r="C324" s="1105"/>
      <c r="D324" s="1105"/>
      <c r="E324" s="1105"/>
      <c r="F324" s="1105"/>
      <c r="G324" s="1106"/>
      <c r="H324" s="838" t="str">
        <f t="shared" si="8"/>
        <v>Le tofu mariné avec une bonne sauce passe mieux, mais il faut signaler le soja.</v>
      </c>
      <c r="I324" s="838"/>
      <c r="J324" s="838"/>
      <c r="K324" s="838"/>
      <c r="L324" s="838"/>
      <c r="M324" s="838"/>
      <c r="N324" s="838"/>
      <c r="O324" s="838"/>
      <c r="P324" s="838"/>
      <c r="Q324" s="838"/>
      <c r="R324" s="838"/>
      <c r="S324" s="838"/>
      <c r="T324" s="838"/>
      <c r="U324" s="838"/>
      <c r="V324" s="838"/>
      <c r="W324" s="839"/>
    </row>
    <row r="325" spans="1:23" ht="30" customHeight="1" thickBot="1" x14ac:dyDescent="0.3">
      <c r="A325" s="271">
        <v>316</v>
      </c>
      <c r="B325" s="1105" t="s">
        <v>3993</v>
      </c>
      <c r="C325" s="1105"/>
      <c r="D325" s="1105"/>
      <c r="E325" s="1105"/>
      <c r="F325" s="1105"/>
      <c r="G325" s="1106"/>
      <c r="H325" s="838" t="str">
        <f t="shared" si="8"/>
        <v>Le tofu n’avait pas beaucoup de goût.</v>
      </c>
      <c r="I325" s="838"/>
      <c r="J325" s="838"/>
      <c r="K325" s="838"/>
      <c r="L325" s="838"/>
      <c r="M325" s="838"/>
      <c r="N325" s="838"/>
      <c r="O325" s="838"/>
      <c r="P325" s="838"/>
      <c r="Q325" s="838"/>
      <c r="R325" s="838"/>
      <c r="S325" s="838"/>
      <c r="T325" s="838"/>
      <c r="U325" s="838"/>
      <c r="V325" s="838"/>
      <c r="W325" s="839"/>
    </row>
    <row r="326" spans="1:23" ht="30" customHeight="1" thickBot="1" x14ac:dyDescent="0.3">
      <c r="A326" s="271">
        <v>317</v>
      </c>
      <c r="B326" s="1105" t="s">
        <v>4163</v>
      </c>
      <c r="C326" s="1105"/>
      <c r="D326" s="1105"/>
      <c r="E326" s="1105"/>
      <c r="F326" s="1105"/>
      <c r="G326" s="1106"/>
      <c r="H326" s="838" t="str">
        <f t="shared" si="8"/>
        <v>Le tofu peut être bon si on le fait mariner et si on le sert avec une sauce bien assaisonnée.</v>
      </c>
      <c r="I326" s="838"/>
      <c r="J326" s="838"/>
      <c r="K326" s="838"/>
      <c r="L326" s="838"/>
      <c r="M326" s="838"/>
      <c r="N326" s="838"/>
      <c r="O326" s="838"/>
      <c r="P326" s="838"/>
      <c r="Q326" s="838"/>
      <c r="R326" s="838"/>
      <c r="S326" s="838"/>
      <c r="T326" s="838"/>
      <c r="U326" s="838"/>
      <c r="V326" s="838"/>
      <c r="W326" s="839"/>
    </row>
    <row r="327" spans="1:23" ht="30" customHeight="1" thickBot="1" x14ac:dyDescent="0.3">
      <c r="A327" s="271">
        <v>318</v>
      </c>
      <c r="B327" s="1105" t="s">
        <v>4091</v>
      </c>
      <c r="C327" s="1105"/>
      <c r="D327" s="1105"/>
      <c r="E327" s="1105"/>
      <c r="F327" s="1105"/>
      <c r="G327" s="1106"/>
      <c r="H327" s="838" t="str">
        <f t="shared" si="8"/>
        <v>Le tofu sa a pas de gout sans sauce.</v>
      </c>
      <c r="I327" s="838"/>
      <c r="J327" s="838"/>
      <c r="K327" s="838"/>
      <c r="L327" s="838"/>
      <c r="M327" s="838"/>
      <c r="N327" s="838"/>
      <c r="O327" s="838"/>
      <c r="P327" s="838"/>
      <c r="Q327" s="838"/>
      <c r="R327" s="838"/>
      <c r="S327" s="838"/>
      <c r="T327" s="838"/>
      <c r="U327" s="838"/>
      <c r="V327" s="838"/>
      <c r="W327" s="839"/>
    </row>
    <row r="328" spans="1:23" ht="30" customHeight="1" thickBot="1" x14ac:dyDescent="0.3">
      <c r="A328" s="271">
        <v>319</v>
      </c>
      <c r="B328" s="1105" t="s">
        <v>3406</v>
      </c>
      <c r="C328" s="1105"/>
      <c r="D328" s="1105"/>
      <c r="E328" s="1105"/>
      <c r="F328" s="1105"/>
      <c r="G328" s="1106"/>
      <c r="H328" s="838" t="str">
        <f t="shared" si="8"/>
        <v>Le trempage des haricots doit être prévu à l’avance pour organiser la production.</v>
      </c>
      <c r="I328" s="838"/>
      <c r="J328" s="838"/>
      <c r="K328" s="838"/>
      <c r="L328" s="838"/>
      <c r="M328" s="838"/>
      <c r="N328" s="838"/>
      <c r="O328" s="838"/>
      <c r="P328" s="838"/>
      <c r="Q328" s="838"/>
      <c r="R328" s="838"/>
      <c r="S328" s="838"/>
      <c r="T328" s="838"/>
      <c r="U328" s="838"/>
      <c r="V328" s="838"/>
      <c r="W328" s="839"/>
    </row>
    <row r="329" spans="1:23" ht="30" customHeight="1" thickBot="1" x14ac:dyDescent="0.3">
      <c r="A329" s="271">
        <v>320</v>
      </c>
      <c r="B329" s="1105" t="s">
        <v>4326</v>
      </c>
      <c r="C329" s="1105"/>
      <c r="D329" s="1105"/>
      <c r="E329" s="1105"/>
      <c r="F329" s="1105"/>
      <c r="G329" s="1106"/>
      <c r="H329" s="838" t="str">
        <f t="shared" si="8"/>
        <v>Le trempage des haricots doit être prévu à l’avance, avec rinçage, cuisson test et contrôle de la texture.</v>
      </c>
      <c r="I329" s="838"/>
      <c r="J329" s="838"/>
      <c r="K329" s="838"/>
      <c r="L329" s="838"/>
      <c r="M329" s="838"/>
      <c r="N329" s="838"/>
      <c r="O329" s="838"/>
      <c r="P329" s="838"/>
      <c r="Q329" s="838"/>
      <c r="R329" s="838"/>
      <c r="S329" s="838"/>
      <c r="T329" s="838"/>
      <c r="U329" s="838"/>
      <c r="V329" s="838"/>
      <c r="W329" s="839"/>
    </row>
    <row r="330" spans="1:23" ht="30" customHeight="1" thickBot="1" x14ac:dyDescent="0.3">
      <c r="A330" s="271">
        <v>321</v>
      </c>
      <c r="B330" s="1105" t="s">
        <v>4231</v>
      </c>
      <c r="C330" s="1105"/>
      <c r="D330" s="1105"/>
      <c r="E330" s="1105"/>
      <c r="F330" s="1105"/>
      <c r="G330" s="1106"/>
      <c r="H330" s="838" t="str">
        <f t="shared" si="8"/>
        <v>Le truc au soja, il faut le dire parce que certains peuvent pas en manger.</v>
      </c>
      <c r="I330" s="838"/>
      <c r="J330" s="838"/>
      <c r="K330" s="838"/>
      <c r="L330" s="838"/>
      <c r="M330" s="838"/>
      <c r="N330" s="838"/>
      <c r="O330" s="838"/>
      <c r="P330" s="838"/>
      <c r="Q330" s="838"/>
      <c r="R330" s="838"/>
      <c r="S330" s="838"/>
      <c r="T330" s="838"/>
      <c r="U330" s="838"/>
      <c r="V330" s="838"/>
      <c r="W330" s="839"/>
    </row>
    <row r="331" spans="1:23" ht="30" customHeight="1" thickBot="1" x14ac:dyDescent="0.3">
      <c r="A331" s="271">
        <v>322</v>
      </c>
      <c r="B331" s="1105" t="s">
        <v>4261</v>
      </c>
      <c r="C331" s="1105"/>
      <c r="D331" s="1105"/>
      <c r="E331" s="1105"/>
      <c r="F331" s="1105"/>
      <c r="G331" s="1106"/>
      <c r="H331" s="838" t="str">
        <f t="shared" si="8"/>
        <v>Le vrai coût d’un plat, ce n’est pas seulement le prix des ingrédients. Il faut aussi compter les pertes, la sauce et le gaspillage.</v>
      </c>
      <c r="I331" s="838"/>
      <c r="J331" s="838"/>
      <c r="K331" s="838"/>
      <c r="L331" s="838"/>
      <c r="M331" s="838"/>
      <c r="N331" s="838"/>
      <c r="O331" s="838"/>
      <c r="P331" s="838"/>
      <c r="Q331" s="838"/>
      <c r="R331" s="838"/>
      <c r="S331" s="838"/>
      <c r="T331" s="838"/>
      <c r="U331" s="838"/>
      <c r="V331" s="838"/>
      <c r="W331" s="839"/>
    </row>
    <row r="332" spans="1:23" ht="30" customHeight="1" thickBot="1" x14ac:dyDescent="0.3">
      <c r="A332" s="271">
        <v>323</v>
      </c>
      <c r="B332" s="1105" t="s">
        <v>4337</v>
      </c>
      <c r="C332" s="1105"/>
      <c r="D332" s="1105"/>
      <c r="E332" s="1105"/>
      <c r="F332" s="1105"/>
      <c r="G332" s="1106"/>
      <c r="H332" s="838" t="str">
        <f t="shared" si="8"/>
        <v>Lentilles corail, tomate et riz coûtent peu cher, mais il faut ajouter du goût avec épices, herbes ou acidité.</v>
      </c>
      <c r="I332" s="838"/>
      <c r="J332" s="838"/>
      <c r="K332" s="838"/>
      <c r="L332" s="838"/>
      <c r="M332" s="838"/>
      <c r="N332" s="838"/>
      <c r="O332" s="838"/>
      <c r="P332" s="838"/>
      <c r="Q332" s="838"/>
      <c r="R332" s="838"/>
      <c r="S332" s="838"/>
      <c r="T332" s="838"/>
      <c r="U332" s="838"/>
      <c r="V332" s="838"/>
      <c r="W332" s="839"/>
    </row>
    <row r="333" spans="1:23" ht="30" customHeight="1" thickBot="1" x14ac:dyDescent="0.3">
      <c r="A333" s="271">
        <v>324</v>
      </c>
      <c r="B333" s="1105" t="s">
        <v>4256</v>
      </c>
      <c r="C333" s="1105"/>
      <c r="D333" s="1105"/>
      <c r="E333" s="1105"/>
      <c r="F333" s="1105"/>
      <c r="G333" s="1106"/>
      <c r="H333" s="838" t="str">
        <f t="shared" si="8"/>
        <v>Les agents de service doivent savoir présenter le plat végétal simplement, avec les ingrédients connus et la sauce.</v>
      </c>
      <c r="I333" s="838"/>
      <c r="J333" s="838"/>
      <c r="K333" s="838"/>
      <c r="L333" s="838"/>
      <c r="M333" s="838"/>
      <c r="N333" s="838"/>
      <c r="O333" s="838"/>
      <c r="P333" s="838"/>
      <c r="Q333" s="838"/>
      <c r="R333" s="838"/>
      <c r="S333" s="838"/>
      <c r="T333" s="838"/>
      <c r="U333" s="838"/>
      <c r="V333" s="838"/>
      <c r="W333" s="839"/>
    </row>
    <row r="334" spans="1:23" ht="30" customHeight="1" thickBot="1" x14ac:dyDescent="0.3">
      <c r="A334" s="271">
        <v>325</v>
      </c>
      <c r="B334" s="1105" t="s">
        <v>3374</v>
      </c>
      <c r="C334" s="1105"/>
      <c r="D334" s="1105"/>
      <c r="E334" s="1105"/>
      <c r="F334" s="1105"/>
      <c r="G334" s="1106"/>
      <c r="H334" s="838" t="str">
        <f t="shared" si="8"/>
        <v>Les causes possibles de gaspillage sont goût faible, texture sèche, portion trop grande ou mauvaise présentation.</v>
      </c>
      <c r="I334" s="838"/>
      <c r="J334" s="838"/>
      <c r="K334" s="838"/>
      <c r="L334" s="838"/>
      <c r="M334" s="838"/>
      <c r="N334" s="838"/>
      <c r="O334" s="838"/>
      <c r="P334" s="838"/>
      <c r="Q334" s="838"/>
      <c r="R334" s="838"/>
      <c r="S334" s="838"/>
      <c r="T334" s="838"/>
      <c r="U334" s="838"/>
      <c r="V334" s="838"/>
      <c r="W334" s="839"/>
    </row>
    <row r="335" spans="1:23" ht="30" customHeight="1" thickBot="1" x14ac:dyDescent="0.3">
      <c r="A335" s="271">
        <v>326</v>
      </c>
      <c r="B335" s="1105" t="s">
        <v>3394</v>
      </c>
      <c r="C335" s="1105"/>
      <c r="D335" s="1105"/>
      <c r="E335" s="1105"/>
      <c r="F335" s="1105"/>
      <c r="G335" s="1106"/>
      <c r="H335" s="838" t="str">
        <f t="shared" si="8"/>
        <v>Les convives acceptent mieux un plat végétal quand il ressemble à un plat connu.</v>
      </c>
      <c r="I335" s="838"/>
      <c r="J335" s="838"/>
      <c r="K335" s="838"/>
      <c r="L335" s="838"/>
      <c r="M335" s="838"/>
      <c r="N335" s="838"/>
      <c r="O335" s="838"/>
      <c r="P335" s="838"/>
      <c r="Q335" s="838"/>
      <c r="R335" s="838"/>
      <c r="S335" s="838"/>
      <c r="T335" s="838"/>
      <c r="U335" s="838"/>
      <c r="V335" s="838"/>
      <c r="W335" s="839"/>
    </row>
    <row r="336" spans="1:23" ht="30" customHeight="1" thickBot="1" x14ac:dyDescent="0.3">
      <c r="A336" s="271">
        <v>327</v>
      </c>
      <c r="B336" s="1105" t="s">
        <v>3233</v>
      </c>
      <c r="C336" s="1105"/>
      <c r="D336" s="1105"/>
      <c r="E336" s="1105"/>
      <c r="F336" s="1105"/>
      <c r="G336" s="1106"/>
      <c r="H336" s="838" t="str">
        <f t="shared" si="8"/>
        <v>Les convives refusent un plat sec, farineux et sans sauce, même si le prix matière est intéressant.</v>
      </c>
      <c r="I336" s="838"/>
      <c r="J336" s="838"/>
      <c r="K336" s="838"/>
      <c r="L336" s="838"/>
      <c r="M336" s="838"/>
      <c r="N336" s="838"/>
      <c r="O336" s="838"/>
      <c r="P336" s="838"/>
      <c r="Q336" s="838"/>
      <c r="R336" s="838"/>
      <c r="S336" s="838"/>
      <c r="T336" s="838"/>
      <c r="U336" s="838"/>
      <c r="V336" s="838"/>
      <c r="W336" s="839"/>
    </row>
    <row r="337" spans="1:23" ht="30" customHeight="1" thickBot="1" x14ac:dyDescent="0.3">
      <c r="A337" s="271">
        <v>328</v>
      </c>
      <c r="B337" s="1105" t="s">
        <v>3244</v>
      </c>
      <c r="C337" s="1105"/>
      <c r="D337" s="1105"/>
      <c r="E337" s="1105"/>
      <c r="F337" s="1105"/>
      <c r="G337" s="1106"/>
      <c r="H337" s="838" t="str">
        <f t="shared" si="8"/>
        <v>Les élèves comparent prix d’achat, coût portion et gaspillage après un plat aux pois chiches.</v>
      </c>
      <c r="I337" s="838"/>
      <c r="J337" s="838"/>
      <c r="K337" s="838"/>
      <c r="L337" s="838"/>
      <c r="M337" s="838"/>
      <c r="N337" s="838"/>
      <c r="O337" s="838"/>
      <c r="P337" s="838"/>
      <c r="Q337" s="838"/>
      <c r="R337" s="838"/>
      <c r="S337" s="838"/>
      <c r="T337" s="838"/>
      <c r="U337" s="838"/>
      <c r="V337" s="838"/>
      <c r="W337" s="839"/>
    </row>
    <row r="338" spans="1:23" ht="30" customHeight="1" thickBot="1" x14ac:dyDescent="0.3">
      <c r="A338" s="271">
        <v>329</v>
      </c>
      <c r="B338" s="1105" t="s">
        <v>4012</v>
      </c>
      <c r="C338" s="1105"/>
      <c r="D338" s="1105"/>
      <c r="E338" s="1105"/>
      <c r="F338" s="1105"/>
      <c r="G338" s="1106"/>
      <c r="H338" s="838" t="str">
        <f t="shared" si="8"/>
        <v>Les élèves n’ont pas aimé le plat végétal.</v>
      </c>
      <c r="I338" s="838"/>
      <c r="J338" s="838"/>
      <c r="K338" s="838"/>
      <c r="L338" s="838"/>
      <c r="M338" s="838"/>
      <c r="N338" s="838"/>
      <c r="O338" s="838"/>
      <c r="P338" s="838"/>
      <c r="Q338" s="838"/>
      <c r="R338" s="838"/>
      <c r="S338" s="838"/>
      <c r="T338" s="838"/>
      <c r="U338" s="838"/>
      <c r="V338" s="838"/>
      <c r="W338" s="839"/>
    </row>
    <row r="339" spans="1:23" ht="30" customHeight="1" thickBot="1" x14ac:dyDescent="0.3">
      <c r="A339" s="271">
        <v>330</v>
      </c>
      <c r="B339" s="1105" t="s">
        <v>4180</v>
      </c>
      <c r="C339" s="1105"/>
      <c r="D339" s="1105"/>
      <c r="E339" s="1105"/>
      <c r="F339" s="1105"/>
      <c r="G339" s="1106"/>
      <c r="H339" s="838" t="str">
        <f t="shared" si="8"/>
        <v>Les élèves n’ont pas aimé le tofu.</v>
      </c>
      <c r="I339" s="838"/>
      <c r="J339" s="838"/>
      <c r="K339" s="838"/>
      <c r="L339" s="838"/>
      <c r="M339" s="838"/>
      <c r="N339" s="838"/>
      <c r="O339" s="838"/>
      <c r="P339" s="838"/>
      <c r="Q339" s="838"/>
      <c r="R339" s="838"/>
      <c r="S339" s="838"/>
      <c r="T339" s="838"/>
      <c r="U339" s="838"/>
      <c r="V339" s="838"/>
      <c r="W339" s="839"/>
    </row>
    <row r="340" spans="1:23" ht="30" customHeight="1" thickBot="1" x14ac:dyDescent="0.3">
      <c r="A340" s="271">
        <v>331</v>
      </c>
      <c r="B340" s="1105" t="s">
        <v>4192</v>
      </c>
      <c r="C340" s="1105"/>
      <c r="D340" s="1105"/>
      <c r="E340" s="1105"/>
      <c r="F340" s="1105"/>
      <c r="G340" s="1106"/>
      <c r="H340" s="838" t="str">
        <f t="shared" si="8"/>
        <v>Les élèves ont bien aimé le curry de lentilles.</v>
      </c>
      <c r="I340" s="838"/>
      <c r="J340" s="838"/>
      <c r="K340" s="838"/>
      <c r="L340" s="838"/>
      <c r="M340" s="838"/>
      <c r="N340" s="838"/>
      <c r="O340" s="838"/>
      <c r="P340" s="838"/>
      <c r="Q340" s="838"/>
      <c r="R340" s="838"/>
      <c r="S340" s="838"/>
      <c r="T340" s="838"/>
      <c r="U340" s="838"/>
      <c r="V340" s="838"/>
      <c r="W340" s="839"/>
    </row>
    <row r="341" spans="1:23" ht="30" customHeight="1" thickBot="1" x14ac:dyDescent="0.3">
      <c r="A341" s="271">
        <v>332</v>
      </c>
      <c r="B341" s="1105" t="s">
        <v>4083</v>
      </c>
      <c r="C341" s="1105"/>
      <c r="D341" s="1105"/>
      <c r="E341" s="1105"/>
      <c r="F341" s="1105"/>
      <c r="G341" s="1106"/>
      <c r="H341" s="838" t="str">
        <f t="shared" si="8"/>
        <v>Les élèves ont mieux mangé la version avec sauce.</v>
      </c>
      <c r="I341" s="838"/>
      <c r="J341" s="838"/>
      <c r="K341" s="838"/>
      <c r="L341" s="838"/>
      <c r="M341" s="838"/>
      <c r="N341" s="838"/>
      <c r="O341" s="838"/>
      <c r="P341" s="838"/>
      <c r="Q341" s="838"/>
      <c r="R341" s="838"/>
      <c r="S341" s="838"/>
      <c r="T341" s="838"/>
      <c r="U341" s="838"/>
      <c r="V341" s="838"/>
      <c r="W341" s="839"/>
    </row>
    <row r="342" spans="1:23" ht="30" customHeight="1" thickBot="1" x14ac:dyDescent="0.3">
      <c r="A342" s="271">
        <v>333</v>
      </c>
      <c r="B342" s="1105" t="s">
        <v>3326</v>
      </c>
      <c r="C342" s="1105"/>
      <c r="D342" s="1105"/>
      <c r="E342" s="1105"/>
      <c r="F342" s="1105"/>
      <c r="G342" s="1106"/>
      <c r="H342" s="838" t="str">
        <f t="shared" si="8"/>
        <v>Les élèves peuvent comparer deux versions d’une recette, une sèche et une avec sauce, pour comprendre la différence.</v>
      </c>
      <c r="I342" s="838"/>
      <c r="J342" s="838"/>
      <c r="K342" s="838"/>
      <c r="L342" s="838"/>
      <c r="M342" s="838"/>
      <c r="N342" s="838"/>
      <c r="O342" s="838"/>
      <c r="P342" s="838"/>
      <c r="Q342" s="838"/>
      <c r="R342" s="838"/>
      <c r="S342" s="838"/>
      <c r="T342" s="838"/>
      <c r="U342" s="838"/>
      <c r="V342" s="838"/>
      <c r="W342" s="839"/>
    </row>
    <row r="343" spans="1:23" ht="30" customHeight="1" thickBot="1" x14ac:dyDescent="0.3">
      <c r="A343" s="271">
        <v>334</v>
      </c>
      <c r="B343" s="1105" t="s">
        <v>4114</v>
      </c>
      <c r="C343" s="1105"/>
      <c r="D343" s="1105"/>
      <c r="E343" s="1105"/>
      <c r="F343" s="1105"/>
      <c r="G343" s="1106"/>
      <c r="H343" s="838" t="str">
        <f t="shared" si="8"/>
        <v>Les élèves voulais pas gouter car il savait pas c’était quoi.</v>
      </c>
      <c r="I343" s="838"/>
      <c r="J343" s="838"/>
      <c r="K343" s="838"/>
      <c r="L343" s="838"/>
      <c r="M343" s="838"/>
      <c r="N343" s="838"/>
      <c r="O343" s="838"/>
      <c r="P343" s="838"/>
      <c r="Q343" s="838"/>
      <c r="R343" s="838"/>
      <c r="S343" s="838"/>
      <c r="T343" s="838"/>
      <c r="U343" s="838"/>
      <c r="V343" s="838"/>
      <c r="W343" s="839"/>
    </row>
    <row r="344" spans="1:23" ht="30" customHeight="1" thickBot="1" x14ac:dyDescent="0.3">
      <c r="A344" s="271">
        <v>335</v>
      </c>
      <c r="B344" s="1105" t="s">
        <v>3382</v>
      </c>
      <c r="C344" s="1105"/>
      <c r="D344" s="1105"/>
      <c r="E344" s="1105"/>
      <c r="F344" s="1105"/>
      <c r="G344" s="1106"/>
      <c r="H344" s="838" t="str">
        <f t="shared" si="8"/>
        <v>Les épices douces permettent de donner du goût sans rendre le plat trop fort.</v>
      </c>
      <c r="I344" s="838"/>
      <c r="J344" s="838"/>
      <c r="K344" s="838"/>
      <c r="L344" s="838"/>
      <c r="M344" s="838"/>
      <c r="N344" s="838"/>
      <c r="O344" s="838"/>
      <c r="P344" s="838"/>
      <c r="Q344" s="838"/>
      <c r="R344" s="838"/>
      <c r="S344" s="838"/>
      <c r="T344" s="838"/>
      <c r="U344" s="838"/>
      <c r="V344" s="838"/>
      <c r="W344" s="839"/>
    </row>
    <row r="345" spans="1:23" ht="30" customHeight="1" thickBot="1" x14ac:dyDescent="0.3">
      <c r="A345" s="271">
        <v>336</v>
      </c>
      <c r="B345" s="1105" t="s">
        <v>3366</v>
      </c>
      <c r="C345" s="1105"/>
      <c r="D345" s="1105"/>
      <c r="E345" s="1105"/>
      <c r="F345" s="1105"/>
      <c r="G345" s="1106"/>
      <c r="H345" s="838" t="str">
        <f t="shared" si="8"/>
        <v>Les fibres sont utiles mais il ne faut pas oublier la tolérance digestive des convives.</v>
      </c>
      <c r="I345" s="838"/>
      <c r="J345" s="838"/>
      <c r="K345" s="838"/>
      <c r="L345" s="838"/>
      <c r="M345" s="838"/>
      <c r="N345" s="838"/>
      <c r="O345" s="838"/>
      <c r="P345" s="838"/>
      <c r="Q345" s="838"/>
      <c r="R345" s="838"/>
      <c r="S345" s="838"/>
      <c r="T345" s="838"/>
      <c r="U345" s="838"/>
      <c r="V345" s="838"/>
      <c r="W345" s="839"/>
    </row>
    <row r="346" spans="1:23" ht="30" customHeight="1" thickBot="1" x14ac:dyDescent="0.3">
      <c r="A346" s="271">
        <v>337</v>
      </c>
      <c r="B346" s="1105" t="s">
        <v>4105</v>
      </c>
      <c r="C346" s="1105"/>
      <c r="D346" s="1105"/>
      <c r="E346" s="1105"/>
      <c r="F346" s="1105"/>
      <c r="G346" s="1106"/>
      <c r="H346" s="838" t="str">
        <f t="shared" si="8"/>
        <v>Les haricot rouge était bon mais un peut sec.</v>
      </c>
      <c r="I346" s="838"/>
      <c r="J346" s="838"/>
      <c r="K346" s="838"/>
      <c r="L346" s="838"/>
      <c r="M346" s="838"/>
      <c r="N346" s="838"/>
      <c r="O346" s="838"/>
      <c r="P346" s="838"/>
      <c r="Q346" s="838"/>
      <c r="R346" s="838"/>
      <c r="S346" s="838"/>
      <c r="T346" s="838"/>
      <c r="U346" s="838"/>
      <c r="V346" s="838"/>
      <c r="W346" s="839"/>
    </row>
    <row r="347" spans="1:23" ht="30" customHeight="1" thickBot="1" x14ac:dyDescent="0.3">
      <c r="A347" s="271">
        <v>338</v>
      </c>
      <c r="B347" s="1105" t="s">
        <v>4053</v>
      </c>
      <c r="C347" s="1105"/>
      <c r="D347" s="1105"/>
      <c r="E347" s="1105"/>
      <c r="F347" s="1105"/>
      <c r="G347" s="1106"/>
      <c r="H347" s="838" t="str">
        <f t="shared" si="8"/>
        <v>Les haricots blancs étaient bons mais trop secs après le service.</v>
      </c>
      <c r="I347" s="838"/>
      <c r="J347" s="838"/>
      <c r="K347" s="838"/>
      <c r="L347" s="838"/>
      <c r="M347" s="838"/>
      <c r="N347" s="838"/>
      <c r="O347" s="838"/>
      <c r="P347" s="838"/>
      <c r="Q347" s="838"/>
      <c r="R347" s="838"/>
      <c r="S347" s="838"/>
      <c r="T347" s="838"/>
      <c r="U347" s="838"/>
      <c r="V347" s="838"/>
      <c r="W347" s="839"/>
    </row>
    <row r="348" spans="1:23" ht="30" customHeight="1" thickBot="1" x14ac:dyDescent="0.3">
      <c r="A348" s="271">
        <v>339</v>
      </c>
      <c r="B348" s="1105" t="s">
        <v>4328</v>
      </c>
      <c r="C348" s="1105"/>
      <c r="D348" s="1105"/>
      <c r="E348" s="1105"/>
      <c r="F348" s="1105"/>
      <c r="G348" s="1106"/>
      <c r="H348" s="838" t="str">
        <f t="shared" si="8"/>
        <v>Les haricots blancs peuvent devenir secs au réchauffage, donc il faut une sauce plus longue.</v>
      </c>
      <c r="I348" s="838"/>
      <c r="J348" s="838"/>
      <c r="K348" s="838"/>
      <c r="L348" s="838"/>
      <c r="M348" s="838"/>
      <c r="N348" s="838"/>
      <c r="O348" s="838"/>
      <c r="P348" s="838"/>
      <c r="Q348" s="838"/>
      <c r="R348" s="838"/>
      <c r="S348" s="838"/>
      <c r="T348" s="838"/>
      <c r="U348" s="838"/>
      <c r="V348" s="838"/>
      <c r="W348" s="839"/>
    </row>
    <row r="349" spans="1:23" ht="30" customHeight="1" thickBot="1" x14ac:dyDescent="0.3">
      <c r="A349" s="271">
        <v>340</v>
      </c>
      <c r="B349" s="1105" t="s">
        <v>4172</v>
      </c>
      <c r="C349" s="1105"/>
      <c r="D349" s="1105"/>
      <c r="E349" s="1105"/>
      <c r="F349" s="1105"/>
      <c r="G349" s="1106"/>
      <c r="H349" s="838" t="str">
        <f t="shared" si="8"/>
        <v>Les haricots rouges et le riz peuvent remplacer une partie de la viande si la sauce est bonne.</v>
      </c>
      <c r="I349" s="838"/>
      <c r="J349" s="838"/>
      <c r="K349" s="838"/>
      <c r="L349" s="838"/>
      <c r="M349" s="838"/>
      <c r="N349" s="838"/>
      <c r="O349" s="838"/>
      <c r="P349" s="838"/>
      <c r="Q349" s="838"/>
      <c r="R349" s="838"/>
      <c r="S349" s="838"/>
      <c r="T349" s="838"/>
      <c r="U349" s="838"/>
      <c r="V349" s="838"/>
      <c r="W349" s="839"/>
    </row>
    <row r="350" spans="1:23" ht="30" customHeight="1" thickBot="1" x14ac:dyDescent="0.3">
      <c r="A350" s="271">
        <v>341</v>
      </c>
      <c r="B350" s="1105" t="s">
        <v>3294</v>
      </c>
      <c r="C350" s="1105"/>
      <c r="D350" s="1105"/>
      <c r="E350" s="1105"/>
      <c r="F350" s="1105"/>
      <c r="G350" s="1106"/>
      <c r="H350" s="838" t="str">
        <f t="shared" si="8"/>
        <v>Les haricots rouges peuvent faire un plat rassasiant si la sauce est généreuse et les épices bien dosées.</v>
      </c>
      <c r="I350" s="838"/>
      <c r="J350" s="838"/>
      <c r="K350" s="838"/>
      <c r="L350" s="838"/>
      <c r="M350" s="838"/>
      <c r="N350" s="838"/>
      <c r="O350" s="838"/>
      <c r="P350" s="838"/>
      <c r="Q350" s="838"/>
      <c r="R350" s="838"/>
      <c r="S350" s="838"/>
      <c r="T350" s="838"/>
      <c r="U350" s="838"/>
      <c r="V350" s="838"/>
      <c r="W350" s="839"/>
    </row>
    <row r="351" spans="1:23" ht="30" customHeight="1" thickBot="1" x14ac:dyDescent="0.3">
      <c r="A351" s="271">
        <v>342</v>
      </c>
      <c r="B351" s="1105" t="s">
        <v>3436</v>
      </c>
      <c r="C351" s="1105"/>
      <c r="D351" s="1105"/>
      <c r="E351" s="1105"/>
      <c r="F351" s="1105"/>
      <c r="G351" s="1106"/>
      <c r="H351" s="838" t="str">
        <f t="shared" si="8"/>
        <v>Les herbes fraîches peuvent améliorer l’odeur, la couleur et le goût d’un plat végétal.</v>
      </c>
      <c r="I351" s="838"/>
      <c r="J351" s="838"/>
      <c r="K351" s="838"/>
      <c r="L351" s="838"/>
      <c r="M351" s="838"/>
      <c r="N351" s="838"/>
      <c r="O351" s="838"/>
      <c r="P351" s="838"/>
      <c r="Q351" s="838"/>
      <c r="R351" s="838"/>
      <c r="S351" s="838"/>
      <c r="T351" s="838"/>
      <c r="U351" s="838"/>
      <c r="V351" s="838"/>
      <c r="W351" s="839"/>
    </row>
    <row r="352" spans="1:23" ht="30" customHeight="1" thickBot="1" x14ac:dyDescent="0.3">
      <c r="A352" s="271">
        <v>343</v>
      </c>
      <c r="B352" s="1105" t="s">
        <v>4289</v>
      </c>
      <c r="C352" s="1105"/>
      <c r="D352" s="1105"/>
      <c r="E352" s="1105"/>
      <c r="F352" s="1105"/>
      <c r="G352" s="1106"/>
      <c r="H352" s="838" t="str">
        <f t="shared" si="8"/>
        <v>Les lasagnes végétales aux lentilles peuvent marcher si la sauce est bonne, si la portion est correcte et si les allergènes sont notés.</v>
      </c>
      <c r="I352" s="838"/>
      <c r="J352" s="838"/>
      <c r="K352" s="838"/>
      <c r="L352" s="838"/>
      <c r="M352" s="838"/>
      <c r="N352" s="838"/>
      <c r="O352" s="838"/>
      <c r="P352" s="838"/>
      <c r="Q352" s="838"/>
      <c r="R352" s="838"/>
      <c r="S352" s="838"/>
      <c r="T352" s="838"/>
      <c r="U352" s="838"/>
      <c r="V352" s="838"/>
      <c r="W352" s="839"/>
    </row>
    <row r="353" spans="1:23" ht="30" customHeight="1" thickBot="1" x14ac:dyDescent="0.3">
      <c r="A353" s="271">
        <v>344</v>
      </c>
      <c r="B353" s="1105" t="s">
        <v>3344</v>
      </c>
      <c r="C353" s="1105"/>
      <c r="D353" s="1105"/>
      <c r="E353" s="1105"/>
      <c r="F353" s="1105"/>
      <c r="G353" s="1106"/>
      <c r="H353" s="838" t="str">
        <f t="shared" si="8"/>
        <v>Les légumes visibles rendent souvent le plat végétal plus compréhensible et plus attirant.</v>
      </c>
      <c r="I353" s="838"/>
      <c r="J353" s="838"/>
      <c r="K353" s="838"/>
      <c r="L353" s="838"/>
      <c r="M353" s="838"/>
      <c r="N353" s="838"/>
      <c r="O353" s="838"/>
      <c r="P353" s="838"/>
      <c r="Q353" s="838"/>
      <c r="R353" s="838"/>
      <c r="S353" s="838"/>
      <c r="T353" s="838"/>
      <c r="U353" s="838"/>
      <c r="V353" s="838"/>
      <c r="W353" s="839"/>
    </row>
    <row r="354" spans="1:23" ht="30" customHeight="1" thickBot="1" x14ac:dyDescent="0.3">
      <c r="A354" s="271">
        <v>345</v>
      </c>
      <c r="B354" s="1105" t="s">
        <v>3398</v>
      </c>
      <c r="C354" s="1105"/>
      <c r="D354" s="1105"/>
      <c r="E354" s="1105"/>
      <c r="F354" s="1105"/>
      <c r="G354" s="1106"/>
      <c r="H354" s="838" t="str">
        <f t="shared" si="8"/>
        <v>Les légumineuses doivent être bien cuites mais pas réduites en purée si la recette demande de la tenue.</v>
      </c>
      <c r="I354" s="838"/>
      <c r="J354" s="838"/>
      <c r="K354" s="838"/>
      <c r="L354" s="838"/>
      <c r="M354" s="838"/>
      <c r="N354" s="838"/>
      <c r="O354" s="838"/>
      <c r="P354" s="838"/>
      <c r="Q354" s="838"/>
      <c r="R354" s="838"/>
      <c r="S354" s="838"/>
      <c r="T354" s="838"/>
      <c r="U354" s="838"/>
      <c r="V354" s="838"/>
      <c r="W354" s="839"/>
    </row>
    <row r="355" spans="1:23" ht="30" customHeight="1" thickBot="1" x14ac:dyDescent="0.3">
      <c r="A355" s="271">
        <v>346</v>
      </c>
      <c r="B355" s="1105" t="s">
        <v>3312</v>
      </c>
      <c r="C355" s="1105"/>
      <c r="D355" s="1105"/>
      <c r="E355" s="1105"/>
      <c r="F355" s="1105"/>
      <c r="G355" s="1106"/>
      <c r="H355" s="838" t="str">
        <f t="shared" si="8"/>
        <v>Les légumineuses en conserve sont pratiques mais il faut comparer le prix, le goût et le rendement.</v>
      </c>
      <c r="I355" s="838"/>
      <c r="J355" s="838"/>
      <c r="K355" s="838"/>
      <c r="L355" s="838"/>
      <c r="M355" s="838"/>
      <c r="N355" s="838"/>
      <c r="O355" s="838"/>
      <c r="P355" s="838"/>
      <c r="Q355" s="838"/>
      <c r="R355" s="838"/>
      <c r="S355" s="838"/>
      <c r="T355" s="838"/>
      <c r="U355" s="838"/>
      <c r="V355" s="838"/>
      <c r="W355" s="839"/>
    </row>
    <row r="356" spans="1:23" ht="30" customHeight="1" thickBot="1" x14ac:dyDescent="0.3">
      <c r="A356" s="271">
        <v>347</v>
      </c>
      <c r="B356" s="1105" t="s">
        <v>4297</v>
      </c>
      <c r="C356" s="1105"/>
      <c r="D356" s="1105"/>
      <c r="E356" s="1105"/>
      <c r="F356" s="1105"/>
      <c r="G356" s="1106"/>
      <c r="H356" s="838" t="str">
        <f t="shared" si="8"/>
        <v>Les légumineuses sèches coûtent moins cher, mais il faut prévoir le trempage, la cuisson et l’organisation.</v>
      </c>
      <c r="I356" s="838"/>
      <c r="J356" s="838"/>
      <c r="K356" s="838"/>
      <c r="L356" s="838"/>
      <c r="M356" s="838"/>
      <c r="N356" s="838"/>
      <c r="O356" s="838"/>
      <c r="P356" s="838"/>
      <c r="Q356" s="838"/>
      <c r="R356" s="838"/>
      <c r="S356" s="838"/>
      <c r="T356" s="838"/>
      <c r="U356" s="838"/>
      <c r="V356" s="838"/>
      <c r="W356" s="839"/>
    </row>
    <row r="357" spans="1:23" ht="30" customHeight="1" thickBot="1" x14ac:dyDescent="0.3">
      <c r="A357" s="271">
        <v>348</v>
      </c>
      <c r="B357" s="1105" t="s">
        <v>3310</v>
      </c>
      <c r="C357" s="1105"/>
      <c r="D357" s="1105"/>
      <c r="E357" s="1105"/>
      <c r="F357" s="1105"/>
      <c r="G357" s="1106"/>
      <c r="H357" s="838" t="str">
        <f t="shared" si="8"/>
        <v>Les légumineuses sèches coûtent souvent moins cher mais il faut prévoir le trempage et la cuisson.</v>
      </c>
      <c r="I357" s="838"/>
      <c r="J357" s="838"/>
      <c r="K357" s="838"/>
      <c r="L357" s="838"/>
      <c r="M357" s="838"/>
      <c r="N357" s="838"/>
      <c r="O357" s="838"/>
      <c r="P357" s="838"/>
      <c r="Q357" s="838"/>
      <c r="R357" s="838"/>
      <c r="S357" s="838"/>
      <c r="T357" s="838"/>
      <c r="U357" s="838"/>
      <c r="V357" s="838"/>
      <c r="W357" s="839"/>
    </row>
    <row r="358" spans="1:23" ht="30" customHeight="1" thickBot="1" x14ac:dyDescent="0.3">
      <c r="A358" s="271">
        <v>349</v>
      </c>
      <c r="B358" s="1105" t="s">
        <v>4094</v>
      </c>
      <c r="C358" s="1105"/>
      <c r="D358" s="1105"/>
      <c r="E358" s="1105"/>
      <c r="F358" s="1105"/>
      <c r="G358" s="1106"/>
      <c r="H358" s="838" t="str">
        <f t="shared" si="8"/>
        <v>Les lentille etait trop cuite.</v>
      </c>
      <c r="I358" s="838"/>
      <c r="J358" s="838"/>
      <c r="K358" s="838"/>
      <c r="L358" s="838"/>
      <c r="M358" s="838"/>
      <c r="N358" s="838"/>
      <c r="O358" s="838"/>
      <c r="P358" s="838"/>
      <c r="Q358" s="838"/>
      <c r="R358" s="838"/>
      <c r="S358" s="838"/>
      <c r="T358" s="838"/>
      <c r="U358" s="838"/>
      <c r="V358" s="838"/>
      <c r="W358" s="839"/>
    </row>
    <row r="359" spans="1:23" ht="30" customHeight="1" thickBot="1" x14ac:dyDescent="0.3">
      <c r="A359" s="271">
        <v>350</v>
      </c>
      <c r="B359" s="1105" t="s">
        <v>4050</v>
      </c>
      <c r="C359" s="1105"/>
      <c r="D359" s="1105"/>
      <c r="E359" s="1105"/>
      <c r="F359" s="1105"/>
      <c r="G359" s="1106"/>
      <c r="H359" s="838" t="str">
        <f t="shared" si="8"/>
        <v>Les lentilles avec du blé ou du riz font un repas plus complet.</v>
      </c>
      <c r="I359" s="838"/>
      <c r="J359" s="838"/>
      <c r="K359" s="838"/>
      <c r="L359" s="838"/>
      <c r="M359" s="838"/>
      <c r="N359" s="838"/>
      <c r="O359" s="838"/>
      <c r="P359" s="838"/>
      <c r="Q359" s="838"/>
      <c r="R359" s="838"/>
      <c r="S359" s="838"/>
      <c r="T359" s="838"/>
      <c r="U359" s="838"/>
      <c r="V359" s="838"/>
      <c r="W359" s="839"/>
    </row>
    <row r="360" spans="1:23" ht="30" customHeight="1" thickBot="1" x14ac:dyDescent="0.3">
      <c r="A360" s="271">
        <v>351</v>
      </c>
      <c r="B360" s="1105" t="s">
        <v>4077</v>
      </c>
      <c r="C360" s="1105"/>
      <c r="D360" s="1105"/>
      <c r="E360" s="1105"/>
      <c r="F360" s="1105"/>
      <c r="G360" s="1106"/>
      <c r="H360" s="838" t="str">
        <f t="shared" si="8"/>
        <v>Les lentilles étaient trop cuites, ça faisait une pâte.</v>
      </c>
      <c r="I360" s="838"/>
      <c r="J360" s="838"/>
      <c r="K360" s="838"/>
      <c r="L360" s="838"/>
      <c r="M360" s="838"/>
      <c r="N360" s="838"/>
      <c r="O360" s="838"/>
      <c r="P360" s="838"/>
      <c r="Q360" s="838"/>
      <c r="R360" s="838"/>
      <c r="S360" s="838"/>
      <c r="T360" s="838"/>
      <c r="U360" s="838"/>
      <c r="V360" s="838"/>
      <c r="W360" s="839"/>
    </row>
    <row r="361" spans="1:23" ht="30" customHeight="1" thickBot="1" x14ac:dyDescent="0.3">
      <c r="A361" s="271">
        <v>352</v>
      </c>
      <c r="B361" s="1105" t="s">
        <v>3274</v>
      </c>
      <c r="C361" s="1105"/>
      <c r="D361" s="1105"/>
      <c r="E361" s="1105"/>
      <c r="F361" s="1105"/>
      <c r="G361" s="1106"/>
      <c r="H361" s="838" t="str">
        <f t="shared" si="8"/>
        <v>Les lentilles peuvent remplacer une partie de la viande dans une sauce si le goût reste proche et si la texture est agréable.</v>
      </c>
      <c r="I361" s="838"/>
      <c r="J361" s="838"/>
      <c r="K361" s="838"/>
      <c r="L361" s="838"/>
      <c r="M361" s="838"/>
      <c r="N361" s="838"/>
      <c r="O361" s="838"/>
      <c r="P361" s="838"/>
      <c r="Q361" s="838"/>
      <c r="R361" s="838"/>
      <c r="S361" s="838"/>
      <c r="T361" s="838"/>
      <c r="U361" s="838"/>
      <c r="V361" s="838"/>
      <c r="W361" s="839"/>
    </row>
    <row r="362" spans="1:23" ht="30" customHeight="1" thickBot="1" x14ac:dyDescent="0.3">
      <c r="A362" s="271">
        <v>353</v>
      </c>
      <c r="B362" s="1105" t="s">
        <v>4233</v>
      </c>
      <c r="C362" s="1105"/>
      <c r="D362" s="1105"/>
      <c r="E362" s="1105"/>
      <c r="F362" s="1105"/>
      <c r="G362" s="1106"/>
      <c r="H362" s="838" t="str">
        <f t="shared" si="8"/>
        <v>Les lentilles toutes seules c’est lourd, avec du riz c’est mieux.</v>
      </c>
      <c r="I362" s="838"/>
      <c r="J362" s="838"/>
      <c r="K362" s="838"/>
      <c r="L362" s="838"/>
      <c r="M362" s="838"/>
      <c r="N362" s="838"/>
      <c r="O362" s="838"/>
      <c r="P362" s="838"/>
      <c r="Q362" s="838"/>
      <c r="R362" s="838"/>
      <c r="S362" s="838"/>
      <c r="T362" s="838"/>
      <c r="U362" s="838"/>
      <c r="V362" s="838"/>
      <c r="W362" s="839"/>
    </row>
    <row r="363" spans="1:23" ht="30" customHeight="1" thickBot="1" x14ac:dyDescent="0.3">
      <c r="A363" s="271">
        <v>354</v>
      </c>
      <c r="B363" s="1105" t="s">
        <v>4280</v>
      </c>
      <c r="C363" s="1105"/>
      <c r="D363" s="1105"/>
      <c r="E363" s="1105"/>
      <c r="F363" s="1105"/>
      <c r="G363" s="1106"/>
      <c r="H363" s="838" t="str">
        <f t="shared" si="8"/>
        <v>Les lentilles vertes tiennent bien en salade, mais il faut une bonne vinaigrette et des légumes croquants.</v>
      </c>
      <c r="I363" s="838"/>
      <c r="J363" s="838"/>
      <c r="K363" s="838"/>
      <c r="L363" s="838"/>
      <c r="M363" s="838"/>
      <c r="N363" s="838"/>
      <c r="O363" s="838"/>
      <c r="P363" s="838"/>
      <c r="Q363" s="838"/>
      <c r="R363" s="838"/>
      <c r="S363" s="838"/>
      <c r="T363" s="838"/>
      <c r="U363" s="838"/>
      <c r="V363" s="838"/>
      <c r="W363" s="839"/>
    </row>
    <row r="364" spans="1:23" ht="30" customHeight="1" thickBot="1" x14ac:dyDescent="0.3">
      <c r="A364" s="271">
        <v>355</v>
      </c>
      <c r="B364" s="1105" t="s">
        <v>4281</v>
      </c>
      <c r="C364" s="1105"/>
      <c r="D364" s="1105"/>
      <c r="E364" s="1105"/>
      <c r="F364" s="1105"/>
      <c r="G364" s="1106"/>
      <c r="H364" s="838" t="str">
        <f t="shared" si="8"/>
        <v>Les pâtes de légumineuses apportent des protéines, mais elles coûtent plus cher et peuvent être fragiles à la cuisson.</v>
      </c>
      <c r="I364" s="838"/>
      <c r="J364" s="838"/>
      <c r="K364" s="838"/>
      <c r="L364" s="838"/>
      <c r="M364" s="838"/>
      <c r="N364" s="838"/>
      <c r="O364" s="838"/>
      <c r="P364" s="838"/>
      <c r="Q364" s="838"/>
      <c r="R364" s="838"/>
      <c r="S364" s="838"/>
      <c r="T364" s="838"/>
      <c r="U364" s="838"/>
      <c r="V364" s="838"/>
      <c r="W364" s="839"/>
    </row>
    <row r="365" spans="1:23" ht="30" customHeight="1" thickBot="1" x14ac:dyDescent="0.3">
      <c r="A365" s="271">
        <v>356</v>
      </c>
      <c r="B365" s="1105" t="s">
        <v>3332</v>
      </c>
      <c r="C365" s="1105"/>
      <c r="D365" s="1105"/>
      <c r="E365" s="1105"/>
      <c r="F365" s="1105"/>
      <c r="G365" s="1106"/>
      <c r="H365" s="838" t="str">
        <f t="shared" si="8"/>
        <v>Les pâtes de légumineuses sont intéressantes mais leur cuisson doit être bien contrôlée.</v>
      </c>
      <c r="I365" s="838"/>
      <c r="J365" s="838"/>
      <c r="K365" s="838"/>
      <c r="L365" s="838"/>
      <c r="M365" s="838"/>
      <c r="N365" s="838"/>
      <c r="O365" s="838"/>
      <c r="P365" s="838"/>
      <c r="Q365" s="838"/>
      <c r="R365" s="838"/>
      <c r="S365" s="838"/>
      <c r="T365" s="838"/>
      <c r="U365" s="838"/>
      <c r="V365" s="838"/>
      <c r="W365" s="839"/>
    </row>
    <row r="366" spans="1:23" ht="30" customHeight="1" thickBot="1" x14ac:dyDescent="0.3">
      <c r="A366" s="271">
        <v>357</v>
      </c>
      <c r="B366" s="1105" t="s">
        <v>4009</v>
      </c>
      <c r="C366" s="1105"/>
      <c r="D366" s="1105"/>
      <c r="E366" s="1105"/>
      <c r="F366" s="1105"/>
      <c r="G366" s="1106"/>
      <c r="H366" s="838" t="str">
        <f t="shared" si="8"/>
        <v>Les pois cassés faisaient trop purée, ce n’était pas agréable.</v>
      </c>
      <c r="I366" s="838"/>
      <c r="J366" s="838"/>
      <c r="K366" s="838"/>
      <c r="L366" s="838"/>
      <c r="M366" s="838"/>
      <c r="N366" s="838"/>
      <c r="O366" s="838"/>
      <c r="P366" s="838"/>
      <c r="Q366" s="838"/>
      <c r="R366" s="838"/>
      <c r="S366" s="838"/>
      <c r="T366" s="838"/>
      <c r="U366" s="838"/>
      <c r="V366" s="838"/>
      <c r="W366" s="839"/>
    </row>
    <row r="367" spans="1:23" ht="30" customHeight="1" thickBot="1" x14ac:dyDescent="0.3">
      <c r="A367" s="271">
        <v>358</v>
      </c>
      <c r="B367" s="1105" t="s">
        <v>4019</v>
      </c>
      <c r="C367" s="1105"/>
      <c r="D367" s="1105"/>
      <c r="E367" s="1105"/>
      <c r="F367" s="1105"/>
      <c r="G367" s="1106"/>
      <c r="H367" s="838" t="str">
        <f t="shared" si="8"/>
        <v>Les pois chiches avec du riz et de la sauce, ça passe mieux.</v>
      </c>
      <c r="I367" s="838"/>
      <c r="J367" s="838"/>
      <c r="K367" s="838"/>
      <c r="L367" s="838"/>
      <c r="M367" s="838"/>
      <c r="N367" s="838"/>
      <c r="O367" s="838"/>
      <c r="P367" s="838"/>
      <c r="Q367" s="838"/>
      <c r="R367" s="838"/>
      <c r="S367" s="838"/>
      <c r="T367" s="838"/>
      <c r="U367" s="838"/>
      <c r="V367" s="838"/>
      <c r="W367" s="839"/>
    </row>
    <row r="368" spans="1:23" ht="30" customHeight="1" thickBot="1" x14ac:dyDescent="0.3">
      <c r="A368" s="271">
        <v>359</v>
      </c>
      <c r="B368" s="1105" t="s">
        <v>4160</v>
      </c>
      <c r="C368" s="1105"/>
      <c r="D368" s="1105"/>
      <c r="E368" s="1105"/>
      <c r="F368" s="1105"/>
      <c r="G368" s="1106"/>
      <c r="H368" s="838" t="str">
        <f t="shared" si="8"/>
        <v>Les pois chiches avec semoule et légumes font un plat complet, mais il faut vérifier le gluten dans la semoule.</v>
      </c>
      <c r="I368" s="838"/>
      <c r="J368" s="838"/>
      <c r="K368" s="838"/>
      <c r="L368" s="838"/>
      <c r="M368" s="838"/>
      <c r="N368" s="838"/>
      <c r="O368" s="838"/>
      <c r="P368" s="838"/>
      <c r="Q368" s="838"/>
      <c r="R368" s="838"/>
      <c r="S368" s="838"/>
      <c r="T368" s="838"/>
      <c r="U368" s="838"/>
      <c r="V368" s="838"/>
      <c r="W368" s="839"/>
    </row>
    <row r="369" spans="1:23" ht="30" customHeight="1" thickBot="1" x14ac:dyDescent="0.3">
      <c r="A369" s="271">
        <v>360</v>
      </c>
      <c r="B369" s="1105" t="s">
        <v>4246</v>
      </c>
      <c r="C369" s="1105"/>
      <c r="D369" s="1105"/>
      <c r="E369" s="1105"/>
      <c r="F369" s="1105"/>
      <c r="G369" s="1106"/>
      <c r="H369" s="838" t="str">
        <f t="shared" si="8"/>
        <v>Les pois chiches locaux peuvent être intéressants, mais il faut prévoir le trempage, la cuisson et vérifier le rendement.</v>
      </c>
      <c r="I369" s="838"/>
      <c r="J369" s="838"/>
      <c r="K369" s="838"/>
      <c r="L369" s="838"/>
      <c r="M369" s="838"/>
      <c r="N369" s="838"/>
      <c r="O369" s="838"/>
      <c r="P369" s="838"/>
      <c r="Q369" s="838"/>
      <c r="R369" s="838"/>
      <c r="S369" s="838"/>
      <c r="T369" s="838"/>
      <c r="U369" s="838"/>
      <c r="V369" s="838"/>
      <c r="W369" s="839"/>
    </row>
    <row r="370" spans="1:23" ht="30" customHeight="1" thickBot="1" x14ac:dyDescent="0.3">
      <c r="A370" s="271">
        <v>361</v>
      </c>
      <c r="B370" s="1105" t="s">
        <v>3282</v>
      </c>
      <c r="C370" s="1105"/>
      <c r="D370" s="1105"/>
      <c r="E370" s="1105"/>
      <c r="F370" s="1105"/>
      <c r="G370" s="1106"/>
      <c r="H370" s="838" t="str">
        <f t="shared" si="8"/>
        <v>Les pois chiches peuvent être servis en couscous, en houmous, en curry ou en salade pour éviter la répétition.</v>
      </c>
      <c r="I370" s="838"/>
      <c r="J370" s="838"/>
      <c r="K370" s="838"/>
      <c r="L370" s="838"/>
      <c r="M370" s="838"/>
      <c r="N370" s="838"/>
      <c r="O370" s="838"/>
      <c r="P370" s="838"/>
      <c r="Q370" s="838"/>
      <c r="R370" s="838"/>
      <c r="S370" s="838"/>
      <c r="T370" s="838"/>
      <c r="U370" s="838"/>
      <c r="V370" s="838"/>
      <c r="W370" s="839"/>
    </row>
    <row r="371" spans="1:23" ht="30" customHeight="1" thickBot="1" x14ac:dyDescent="0.3">
      <c r="A371" s="271">
        <v>362</v>
      </c>
      <c r="B371" s="1105" t="s">
        <v>3356</v>
      </c>
      <c r="C371" s="1105"/>
      <c r="D371" s="1105"/>
      <c r="E371" s="1105"/>
      <c r="F371" s="1105"/>
      <c r="G371" s="1106"/>
      <c r="H371" s="838" t="str">
        <f t="shared" si="8"/>
        <v>Les pois chiches rôtis peuvent être croustillants mais ils ramollissent si on les garde trop longtemps.</v>
      </c>
      <c r="I371" s="838"/>
      <c r="J371" s="838"/>
      <c r="K371" s="838"/>
      <c r="L371" s="838"/>
      <c r="M371" s="838"/>
      <c r="N371" s="838"/>
      <c r="O371" s="838"/>
      <c r="P371" s="838"/>
      <c r="Q371" s="838"/>
      <c r="R371" s="838"/>
      <c r="S371" s="838"/>
      <c r="T371" s="838"/>
      <c r="U371" s="838"/>
      <c r="V371" s="838"/>
      <c r="W371" s="839"/>
    </row>
    <row r="372" spans="1:23" ht="30" customHeight="1" thickBot="1" x14ac:dyDescent="0.3">
      <c r="A372" s="271">
        <v>363</v>
      </c>
      <c r="B372" s="1105" t="s">
        <v>4282</v>
      </c>
      <c r="C372" s="1105"/>
      <c r="D372" s="1105"/>
      <c r="E372" s="1105"/>
      <c r="F372" s="1105"/>
      <c r="G372" s="1106"/>
      <c r="H372" s="838" t="str">
        <f t="shared" si="8"/>
        <v>Les pois chiches rôtis sont bons au début, mais ils peuvent devenir mous s’ils attendent trop longtemps.</v>
      </c>
      <c r="I372" s="838"/>
      <c r="J372" s="838"/>
      <c r="K372" s="838"/>
      <c r="L372" s="838"/>
      <c r="M372" s="838"/>
      <c r="N372" s="838"/>
      <c r="O372" s="838"/>
      <c r="P372" s="838"/>
      <c r="Q372" s="838"/>
      <c r="R372" s="838"/>
      <c r="S372" s="838"/>
      <c r="T372" s="838"/>
      <c r="U372" s="838"/>
      <c r="V372" s="838"/>
      <c r="W372" s="839"/>
    </row>
    <row r="373" spans="1:23" ht="30" customHeight="1" thickBot="1" x14ac:dyDescent="0.3">
      <c r="A373" s="271">
        <v>364</v>
      </c>
      <c r="B373" s="1105" t="s">
        <v>4040</v>
      </c>
      <c r="C373" s="1105"/>
      <c r="D373" s="1105"/>
      <c r="E373" s="1105"/>
      <c r="F373" s="1105"/>
      <c r="G373" s="1106"/>
      <c r="H373" s="838" t="str">
        <f t="shared" si="8"/>
        <v>Les portions étaient trop grosses, beaucoup d’élèves ont jeté.</v>
      </c>
      <c r="I373" s="838"/>
      <c r="J373" s="838"/>
      <c r="K373" s="838"/>
      <c r="L373" s="838"/>
      <c r="M373" s="838"/>
      <c r="N373" s="838"/>
      <c r="O373" s="838"/>
      <c r="P373" s="838"/>
      <c r="Q373" s="838"/>
      <c r="R373" s="838"/>
      <c r="S373" s="838"/>
      <c r="T373" s="838"/>
      <c r="U373" s="838"/>
      <c r="V373" s="838"/>
      <c r="W373" s="839"/>
    </row>
    <row r="374" spans="1:23" ht="30" customHeight="1" thickBot="1" x14ac:dyDescent="0.3">
      <c r="A374" s="271">
        <v>365</v>
      </c>
      <c r="B374" s="1105" t="s">
        <v>4356</v>
      </c>
      <c r="C374" s="1105"/>
      <c r="D374" s="1105"/>
      <c r="E374" s="1105"/>
      <c r="F374" s="1105"/>
      <c r="G374" s="1106"/>
      <c r="H374" s="838" t="str">
        <f t="shared" si="8"/>
        <v>Les protéines de soja texturées ont besoin d’être bien réhydratées et assaisonnées, et il faut afficher le soja.</v>
      </c>
      <c r="I374" s="838"/>
      <c r="J374" s="838"/>
      <c r="K374" s="838"/>
      <c r="L374" s="838"/>
      <c r="M374" s="838"/>
      <c r="N374" s="838"/>
      <c r="O374" s="838"/>
      <c r="P374" s="838"/>
      <c r="Q374" s="838"/>
      <c r="R374" s="838"/>
      <c r="S374" s="838"/>
      <c r="T374" s="838"/>
      <c r="U374" s="838"/>
      <c r="V374" s="838"/>
      <c r="W374" s="839"/>
    </row>
    <row r="375" spans="1:23" ht="30" customHeight="1" thickBot="1" x14ac:dyDescent="0.3">
      <c r="A375" s="271">
        <v>366</v>
      </c>
      <c r="B375" s="1105" t="s">
        <v>4295</v>
      </c>
      <c r="C375" s="1105"/>
      <c r="D375" s="1105"/>
      <c r="E375" s="1105"/>
      <c r="F375" s="1105"/>
      <c r="G375" s="1106"/>
      <c r="H375" s="838" t="str">
        <f t="shared" si="8"/>
        <v>Les protéines végétales absorbent la sauce quand elles attendent au chaud, donc il faut prévoir plus de liquide.</v>
      </c>
      <c r="I375" s="838"/>
      <c r="J375" s="838"/>
      <c r="K375" s="838"/>
      <c r="L375" s="838"/>
      <c r="M375" s="838"/>
      <c r="N375" s="838"/>
      <c r="O375" s="838"/>
      <c r="P375" s="838"/>
      <c r="Q375" s="838"/>
      <c r="R375" s="838"/>
      <c r="S375" s="838"/>
      <c r="T375" s="838"/>
      <c r="U375" s="838"/>
      <c r="V375" s="838"/>
      <c r="W375" s="839"/>
    </row>
    <row r="376" spans="1:23" ht="30" customHeight="1" thickBot="1" x14ac:dyDescent="0.3">
      <c r="A376" s="271">
        <v>367</v>
      </c>
      <c r="B376" s="1105" t="s">
        <v>3462</v>
      </c>
      <c r="C376" s="1105"/>
      <c r="D376" s="1105"/>
      <c r="E376" s="1105"/>
      <c r="F376" s="1105"/>
      <c r="G376" s="1106"/>
      <c r="H376" s="838" t="str">
        <f t="shared" ref="H376:H439" si="9">B376</f>
        <v>Les protéines végétales demandent du travail culinaire pour être acceptées.</v>
      </c>
      <c r="I376" s="838"/>
      <c r="J376" s="838"/>
      <c r="K376" s="838"/>
      <c r="L376" s="838"/>
      <c r="M376" s="838"/>
      <c r="N376" s="838"/>
      <c r="O376" s="838"/>
      <c r="P376" s="838"/>
      <c r="Q376" s="838"/>
      <c r="R376" s="838"/>
      <c r="S376" s="838"/>
      <c r="T376" s="838"/>
      <c r="U376" s="838"/>
      <c r="V376" s="838"/>
      <c r="W376" s="839"/>
    </row>
    <row r="377" spans="1:23" ht="30" customHeight="1" thickBot="1" x14ac:dyDescent="0.3">
      <c r="A377" s="271">
        <v>368</v>
      </c>
      <c r="B377" s="1105" t="s">
        <v>3444</v>
      </c>
      <c r="C377" s="1105"/>
      <c r="D377" s="1105"/>
      <c r="E377" s="1105"/>
      <c r="F377" s="1105"/>
      <c r="G377" s="1106"/>
      <c r="H377" s="838" t="str">
        <f t="shared" si="9"/>
        <v>Les recettes végétales doivent être variées pour éviter que les convives disent encore des lentilles.</v>
      </c>
      <c r="I377" s="838"/>
      <c r="J377" s="838"/>
      <c r="K377" s="838"/>
      <c r="L377" s="838"/>
      <c r="M377" s="838"/>
      <c r="N377" s="838"/>
      <c r="O377" s="838"/>
      <c r="P377" s="838"/>
      <c r="Q377" s="838"/>
      <c r="R377" s="838"/>
      <c r="S377" s="838"/>
      <c r="T377" s="838"/>
      <c r="U377" s="838"/>
      <c r="V377" s="838"/>
      <c r="W377" s="839"/>
    </row>
    <row r="378" spans="1:23" ht="30" customHeight="1" thickBot="1" x14ac:dyDescent="0.3">
      <c r="A378" s="271">
        <v>369</v>
      </c>
      <c r="B378" s="1105" t="s">
        <v>3298</v>
      </c>
      <c r="C378" s="1105"/>
      <c r="D378" s="1105"/>
      <c r="E378" s="1105"/>
      <c r="F378" s="1105"/>
      <c r="G378" s="1106"/>
      <c r="H378" s="838" t="str">
        <f t="shared" si="9"/>
        <v>Les retours assiette servent à savoir si le plat a vraiment été mangé ou seulement servi.</v>
      </c>
      <c r="I378" s="838"/>
      <c r="J378" s="838"/>
      <c r="K378" s="838"/>
      <c r="L378" s="838"/>
      <c r="M378" s="838"/>
      <c r="N378" s="838"/>
      <c r="O378" s="838"/>
      <c r="P378" s="838"/>
      <c r="Q378" s="838"/>
      <c r="R378" s="838"/>
      <c r="S378" s="838"/>
      <c r="T378" s="838"/>
      <c r="U378" s="838"/>
      <c r="V378" s="838"/>
      <c r="W378" s="839"/>
    </row>
    <row r="379" spans="1:23" ht="30" customHeight="1" thickBot="1" x14ac:dyDescent="0.3">
      <c r="A379" s="271">
        <v>370</v>
      </c>
      <c r="B379" s="1105" t="s">
        <v>3241</v>
      </c>
      <c r="C379" s="1105"/>
      <c r="D379" s="1105"/>
      <c r="E379" s="1105"/>
      <c r="F379" s="1105"/>
      <c r="G379" s="1106"/>
      <c r="H379" s="838" t="str">
        <f t="shared" si="9"/>
        <v>Les sources végétales citées sont lentilles, pois chiches, haricots, tofu, tempeh, lupin et seitan.</v>
      </c>
      <c r="I379" s="838"/>
      <c r="J379" s="838"/>
      <c r="K379" s="838"/>
      <c r="L379" s="838"/>
      <c r="M379" s="838"/>
      <c r="N379" s="838"/>
      <c r="O379" s="838"/>
      <c r="P379" s="838"/>
      <c r="Q379" s="838"/>
      <c r="R379" s="838"/>
      <c r="S379" s="838"/>
      <c r="T379" s="838"/>
      <c r="U379" s="838"/>
      <c r="V379" s="838"/>
      <c r="W379" s="839"/>
    </row>
    <row r="380" spans="1:23" ht="30" customHeight="1" thickBot="1" x14ac:dyDescent="0.3">
      <c r="A380" s="271">
        <v>371</v>
      </c>
      <c r="B380" s="1105" t="s">
        <v>4136</v>
      </c>
      <c r="C380" s="1105"/>
      <c r="D380" s="1105"/>
      <c r="E380" s="1105"/>
      <c r="F380" s="1105"/>
      <c r="G380" s="1106"/>
      <c r="H380" s="838" t="str">
        <f t="shared" si="9"/>
        <v>Manque de sauce.</v>
      </c>
      <c r="I380" s="838"/>
      <c r="J380" s="838"/>
      <c r="K380" s="838"/>
      <c r="L380" s="838"/>
      <c r="M380" s="838"/>
      <c r="N380" s="838"/>
      <c r="O380" s="838"/>
      <c r="P380" s="838"/>
      <c r="Q380" s="838"/>
      <c r="R380" s="838"/>
      <c r="S380" s="838"/>
      <c r="T380" s="838"/>
      <c r="U380" s="838"/>
      <c r="V380" s="838"/>
      <c r="W380" s="839"/>
    </row>
    <row r="381" spans="1:23" ht="30" customHeight="1" thickBot="1" x14ac:dyDescent="0.3">
      <c r="A381" s="271">
        <v>372</v>
      </c>
      <c r="B381" s="1105" t="s">
        <v>4266</v>
      </c>
      <c r="C381" s="1105"/>
      <c r="D381" s="1105"/>
      <c r="E381" s="1105"/>
      <c r="F381" s="1105"/>
      <c r="G381" s="1106"/>
      <c r="H381" s="838" t="str">
        <f t="shared" si="9"/>
        <v>Même si le plat est équilibré, il peut être refusé si la couleur est triste, si la sauce ne se voit pas ou si le nom ne donne pas envie.</v>
      </c>
      <c r="I381" s="838"/>
      <c r="J381" s="838"/>
      <c r="K381" s="838"/>
      <c r="L381" s="838"/>
      <c r="M381" s="838"/>
      <c r="N381" s="838"/>
      <c r="O381" s="838"/>
      <c r="P381" s="838"/>
      <c r="Q381" s="838"/>
      <c r="R381" s="838"/>
      <c r="S381" s="838"/>
      <c r="T381" s="838"/>
      <c r="U381" s="838"/>
      <c r="V381" s="838"/>
      <c r="W381" s="839"/>
    </row>
    <row r="382" spans="1:23" ht="30" customHeight="1" thickBot="1" x14ac:dyDescent="0.3">
      <c r="A382" s="271">
        <v>373</v>
      </c>
      <c r="B382" s="1105" t="s">
        <v>4249</v>
      </c>
      <c r="C382" s="1105"/>
      <c r="D382" s="1105"/>
      <c r="E382" s="1105"/>
      <c r="F382" s="1105"/>
      <c r="G382" s="1106"/>
      <c r="H382" s="838" t="str">
        <f t="shared" si="9"/>
        <v>Même si le prix d’achat est correct, il faut compter le temps de préparation, les pertes et ce qui revient dans les assiettes.</v>
      </c>
      <c r="I382" s="838"/>
      <c r="J382" s="838"/>
      <c r="K382" s="838"/>
      <c r="L382" s="838"/>
      <c r="M382" s="838"/>
      <c r="N382" s="838"/>
      <c r="O382" s="838"/>
      <c r="P382" s="838"/>
      <c r="Q382" s="838"/>
      <c r="R382" s="838"/>
      <c r="S382" s="838"/>
      <c r="T382" s="838"/>
      <c r="U382" s="838"/>
      <c r="V382" s="838"/>
      <c r="W382" s="839"/>
    </row>
    <row r="383" spans="1:23" ht="30" customHeight="1" thickBot="1" x14ac:dyDescent="0.3">
      <c r="A383" s="271">
        <v>374</v>
      </c>
      <c r="B383" s="1105" t="s">
        <v>4243</v>
      </c>
      <c r="C383" s="1105"/>
      <c r="D383" s="1105"/>
      <c r="E383" s="1105"/>
      <c r="F383" s="1105"/>
      <c r="G383" s="1106"/>
      <c r="H383" s="838" t="str">
        <f t="shared" si="9"/>
        <v>Même si un plat végétal est bon pour l’environnement, les élèves ne le mangeront pas s’il n’est pas bon ou mal préparé.</v>
      </c>
      <c r="I383" s="838"/>
      <c r="J383" s="838"/>
      <c r="K383" s="838"/>
      <c r="L383" s="838"/>
      <c r="M383" s="838"/>
      <c r="N383" s="838"/>
      <c r="O383" s="838"/>
      <c r="P383" s="838"/>
      <c r="Q383" s="838"/>
      <c r="R383" s="838"/>
      <c r="S383" s="838"/>
      <c r="T383" s="838"/>
      <c r="U383" s="838"/>
      <c r="V383" s="838"/>
      <c r="W383" s="839"/>
    </row>
    <row r="384" spans="1:23" ht="30" customHeight="1" thickBot="1" x14ac:dyDescent="0.3">
      <c r="A384" s="271">
        <v>375</v>
      </c>
      <c r="B384" s="1105" t="s">
        <v>4257</v>
      </c>
      <c r="C384" s="1105"/>
      <c r="D384" s="1105"/>
      <c r="E384" s="1105"/>
      <c r="F384" s="1105"/>
      <c r="G384" s="1106"/>
      <c r="H384" s="838" t="str">
        <f t="shared" si="9"/>
        <v>Mettre plus de légumineuses peut baisser le coût matière, mais il faut plus de travail et plus d’assaisonnement.</v>
      </c>
      <c r="I384" s="838"/>
      <c r="J384" s="838"/>
      <c r="K384" s="838"/>
      <c r="L384" s="838"/>
      <c r="M384" s="838"/>
      <c r="N384" s="838"/>
      <c r="O384" s="838"/>
      <c r="P384" s="838"/>
      <c r="Q384" s="838"/>
      <c r="R384" s="838"/>
      <c r="S384" s="838"/>
      <c r="T384" s="838"/>
      <c r="U384" s="838"/>
      <c r="V384" s="838"/>
      <c r="W384" s="839"/>
    </row>
    <row r="385" spans="1:23" ht="30" customHeight="1" thickBot="1" x14ac:dyDescent="0.3">
      <c r="A385" s="271">
        <v>376</v>
      </c>
      <c r="B385" s="1105" t="s">
        <v>4200</v>
      </c>
      <c r="C385" s="1105"/>
      <c r="D385" s="1105"/>
      <c r="E385" s="1105"/>
      <c r="F385" s="1105"/>
      <c r="G385" s="1106"/>
      <c r="H385" s="838" t="str">
        <f t="shared" si="9"/>
        <v>On a varié avec pois chiches, lentilles et haricots rouges.</v>
      </c>
      <c r="I385" s="838"/>
      <c r="J385" s="838"/>
      <c r="K385" s="838"/>
      <c r="L385" s="838"/>
      <c r="M385" s="838"/>
      <c r="N385" s="838"/>
      <c r="O385" s="838"/>
      <c r="P385" s="838"/>
      <c r="Q385" s="838"/>
      <c r="R385" s="838"/>
      <c r="S385" s="838"/>
      <c r="T385" s="838"/>
      <c r="U385" s="838"/>
      <c r="V385" s="838"/>
      <c r="W385" s="839"/>
    </row>
    <row r="386" spans="1:23" ht="30" customHeight="1" thickBot="1" x14ac:dyDescent="0.3">
      <c r="A386" s="271">
        <v>377</v>
      </c>
      <c r="B386" s="1105" t="s">
        <v>3440</v>
      </c>
      <c r="C386" s="1105"/>
      <c r="D386" s="1105"/>
      <c r="E386" s="1105"/>
      <c r="F386" s="1105"/>
      <c r="G386" s="1106"/>
      <c r="H386" s="838" t="str">
        <f t="shared" si="9"/>
        <v>On évite les grands discours sur l’environnement si le plat n’est pas bon.</v>
      </c>
      <c r="I386" s="838"/>
      <c r="J386" s="838"/>
      <c r="K386" s="838"/>
      <c r="L386" s="838"/>
      <c r="M386" s="838"/>
      <c r="N386" s="838"/>
      <c r="O386" s="838"/>
      <c r="P386" s="838"/>
      <c r="Q386" s="838"/>
      <c r="R386" s="838"/>
      <c r="S386" s="838"/>
      <c r="T386" s="838"/>
      <c r="U386" s="838"/>
      <c r="V386" s="838"/>
      <c r="W386" s="839"/>
    </row>
    <row r="387" spans="1:23" ht="30" customHeight="1" thickBot="1" x14ac:dyDescent="0.3">
      <c r="A387" s="271">
        <v>378</v>
      </c>
      <c r="B387" s="1105" t="s">
        <v>3346</v>
      </c>
      <c r="C387" s="1105"/>
      <c r="D387" s="1105"/>
      <c r="E387" s="1105"/>
      <c r="F387" s="1105"/>
      <c r="G387" s="1106"/>
      <c r="H387" s="838" t="str">
        <f t="shared" si="9"/>
        <v>On mesure la satisfaction avec un retour simple des convives et pas seulement avec l’avis de la cuisine.</v>
      </c>
      <c r="I387" s="838"/>
      <c r="J387" s="838"/>
      <c r="K387" s="838"/>
      <c r="L387" s="838"/>
      <c r="M387" s="838"/>
      <c r="N387" s="838"/>
      <c r="O387" s="838"/>
      <c r="P387" s="838"/>
      <c r="Q387" s="838"/>
      <c r="R387" s="838"/>
      <c r="S387" s="838"/>
      <c r="T387" s="838"/>
      <c r="U387" s="838"/>
      <c r="V387" s="838"/>
      <c r="W387" s="839"/>
    </row>
    <row r="388" spans="1:23" ht="30" customHeight="1" thickBot="1" x14ac:dyDescent="0.3">
      <c r="A388" s="271">
        <v>379</v>
      </c>
      <c r="B388" s="1105" t="s">
        <v>4002</v>
      </c>
      <c r="C388" s="1105"/>
      <c r="D388" s="1105"/>
      <c r="E388" s="1105"/>
      <c r="F388" s="1105"/>
      <c r="G388" s="1106"/>
      <c r="H388" s="838" t="str">
        <f t="shared" si="9"/>
        <v>On n’a pas expliqué le plat, donc personne ne voulait goûter.</v>
      </c>
      <c r="I388" s="838"/>
      <c r="J388" s="838"/>
      <c r="K388" s="838"/>
      <c r="L388" s="838"/>
      <c r="M388" s="838"/>
      <c r="N388" s="838"/>
      <c r="O388" s="838"/>
      <c r="P388" s="838"/>
      <c r="Q388" s="838"/>
      <c r="R388" s="838"/>
      <c r="S388" s="838"/>
      <c r="T388" s="838"/>
      <c r="U388" s="838"/>
      <c r="V388" s="838"/>
      <c r="W388" s="839"/>
    </row>
    <row r="389" spans="1:23" ht="30" customHeight="1" thickBot="1" x14ac:dyDescent="0.3">
      <c r="A389" s="271">
        <v>380</v>
      </c>
      <c r="B389" s="1105" t="s">
        <v>4071</v>
      </c>
      <c r="C389" s="1105"/>
      <c r="D389" s="1105"/>
      <c r="E389" s="1105"/>
      <c r="F389" s="1105"/>
      <c r="G389" s="1106"/>
      <c r="H389" s="838" t="str">
        <f t="shared" si="9"/>
        <v>On ne peut pas mettre des lentilles toutes les semaines, il faut varier.</v>
      </c>
      <c r="I389" s="838"/>
      <c r="J389" s="838"/>
      <c r="K389" s="838"/>
      <c r="L389" s="838"/>
      <c r="M389" s="838"/>
      <c r="N389" s="838"/>
      <c r="O389" s="838"/>
      <c r="P389" s="838"/>
      <c r="Q389" s="838"/>
      <c r="R389" s="838"/>
      <c r="S389" s="838"/>
      <c r="T389" s="838"/>
      <c r="U389" s="838"/>
      <c r="V389" s="838"/>
      <c r="W389" s="839"/>
    </row>
    <row r="390" spans="1:23" ht="30" customHeight="1" thickBot="1" x14ac:dyDescent="0.3">
      <c r="A390" s="271">
        <v>381</v>
      </c>
      <c r="B390" s="1105" t="s">
        <v>3390</v>
      </c>
      <c r="C390" s="1105"/>
      <c r="D390" s="1105"/>
      <c r="E390" s="1105"/>
      <c r="F390" s="1105"/>
      <c r="G390" s="1106"/>
      <c r="H390" s="838" t="str">
        <f t="shared" si="9"/>
        <v>On ne sert pas un plat au seitan à une personne qui doit éviter le gluten.</v>
      </c>
      <c r="I390" s="838"/>
      <c r="J390" s="838"/>
      <c r="K390" s="838"/>
      <c r="L390" s="838"/>
      <c r="M390" s="838"/>
      <c r="N390" s="838"/>
      <c r="O390" s="838"/>
      <c r="P390" s="838"/>
      <c r="Q390" s="838"/>
      <c r="R390" s="838"/>
      <c r="S390" s="838"/>
      <c r="T390" s="838"/>
      <c r="U390" s="838"/>
      <c r="V390" s="838"/>
      <c r="W390" s="839"/>
    </row>
    <row r="391" spans="1:23" ht="30" customHeight="1" thickBot="1" x14ac:dyDescent="0.3">
      <c r="A391" s="271">
        <v>382</v>
      </c>
      <c r="B391" s="1105" t="s">
        <v>4320</v>
      </c>
      <c r="C391" s="1105"/>
      <c r="D391" s="1105"/>
      <c r="E391" s="1105"/>
      <c r="F391" s="1105"/>
      <c r="G391" s="1106"/>
      <c r="H391" s="838" t="str">
        <f t="shared" si="9"/>
        <v>On peut faire goûter deux versions du même plat, une sèche et une avec sauce, pour voir ce qui passe mieux.</v>
      </c>
      <c r="I391" s="838"/>
      <c r="J391" s="838"/>
      <c r="K391" s="838"/>
      <c r="L391" s="838"/>
      <c r="M391" s="838"/>
      <c r="N391" s="838"/>
      <c r="O391" s="838"/>
      <c r="P391" s="838"/>
      <c r="Q391" s="838"/>
      <c r="R391" s="838"/>
      <c r="S391" s="838"/>
      <c r="T391" s="838"/>
      <c r="U391" s="838"/>
      <c r="V391" s="838"/>
      <c r="W391" s="839"/>
    </row>
    <row r="392" spans="1:23" ht="30" customHeight="1" thickBot="1" x14ac:dyDescent="0.3">
      <c r="A392" s="271">
        <v>383</v>
      </c>
      <c r="B392" s="1105" t="s">
        <v>4301</v>
      </c>
      <c r="C392" s="1105"/>
      <c r="D392" s="1105"/>
      <c r="E392" s="1105"/>
      <c r="F392" s="1105"/>
      <c r="G392" s="1106"/>
      <c r="H392" s="838" t="str">
        <f t="shared" si="9"/>
        <v>On peut mettre un peu de lentilles dans un hachis pour réduire la viande sans changer trop le goût.</v>
      </c>
      <c r="I392" s="838"/>
      <c r="J392" s="838"/>
      <c r="K392" s="838"/>
      <c r="L392" s="838"/>
      <c r="M392" s="838"/>
      <c r="N392" s="838"/>
      <c r="O392" s="838"/>
      <c r="P392" s="838"/>
      <c r="Q392" s="838"/>
      <c r="R392" s="838"/>
      <c r="S392" s="838"/>
      <c r="T392" s="838"/>
      <c r="U392" s="838"/>
      <c r="V392" s="838"/>
      <c r="W392" s="839"/>
    </row>
    <row r="393" spans="1:23" ht="30" customHeight="1" thickBot="1" x14ac:dyDescent="0.3">
      <c r="A393" s="271">
        <v>384</v>
      </c>
      <c r="B393" s="1105" t="s">
        <v>4211</v>
      </c>
      <c r="C393" s="1105"/>
      <c r="D393" s="1105"/>
      <c r="E393" s="1105"/>
      <c r="F393" s="1105"/>
      <c r="G393" s="1106"/>
      <c r="H393" s="838" t="str">
        <f t="shared" si="9"/>
        <v>On peut noter les restes pour savoir si la recette plaît vraiment.</v>
      </c>
      <c r="I393" s="838"/>
      <c r="J393" s="838"/>
      <c r="K393" s="838"/>
      <c r="L393" s="838"/>
      <c r="M393" s="838"/>
      <c r="N393" s="838"/>
      <c r="O393" s="838"/>
      <c r="P393" s="838"/>
      <c r="Q393" s="838"/>
      <c r="R393" s="838"/>
      <c r="S393" s="838"/>
      <c r="T393" s="838"/>
      <c r="U393" s="838"/>
      <c r="V393" s="838"/>
      <c r="W393" s="839"/>
    </row>
    <row r="394" spans="1:23" ht="30" customHeight="1" thickBot="1" x14ac:dyDescent="0.3">
      <c r="A394" s="271">
        <v>385</v>
      </c>
      <c r="B394" s="1105" t="s">
        <v>4340</v>
      </c>
      <c r="C394" s="1105"/>
      <c r="D394" s="1105"/>
      <c r="E394" s="1105"/>
      <c r="F394" s="1105"/>
      <c r="G394" s="1106"/>
      <c r="H394" s="838" t="str">
        <f t="shared" si="9"/>
        <v>On peut remplacer une partie de la viande par des lentilles dans une bolognaise si le goût reste proche.</v>
      </c>
      <c r="I394" s="838"/>
      <c r="J394" s="838"/>
      <c r="K394" s="838"/>
      <c r="L394" s="838"/>
      <c r="M394" s="838"/>
      <c r="N394" s="838"/>
      <c r="O394" s="838"/>
      <c r="P394" s="838"/>
      <c r="Q394" s="838"/>
      <c r="R394" s="838"/>
      <c r="S394" s="838"/>
      <c r="T394" s="838"/>
      <c r="U394" s="838"/>
      <c r="V394" s="838"/>
      <c r="W394" s="839"/>
    </row>
    <row r="395" spans="1:23" ht="30" customHeight="1" thickBot="1" x14ac:dyDescent="0.3">
      <c r="A395" s="271">
        <v>386</v>
      </c>
      <c r="B395" s="1105" t="s">
        <v>4273</v>
      </c>
      <c r="C395" s="1105"/>
      <c r="D395" s="1105"/>
      <c r="E395" s="1105"/>
      <c r="F395" s="1105"/>
      <c r="G395" s="1106"/>
      <c r="H395" s="838" t="str">
        <f t="shared" si="9"/>
        <v>On peut remplacer une partie de la viande petit à petit par des lentilles, des pois chiches ou des haricots, sans brusquer les élèves.</v>
      </c>
      <c r="I395" s="838"/>
      <c r="J395" s="838"/>
      <c r="K395" s="838"/>
      <c r="L395" s="838"/>
      <c r="M395" s="838"/>
      <c r="N395" s="838"/>
      <c r="O395" s="838"/>
      <c r="P395" s="838"/>
      <c r="Q395" s="838"/>
      <c r="R395" s="838"/>
      <c r="S395" s="838"/>
      <c r="T395" s="838"/>
      <c r="U395" s="838"/>
      <c r="V395" s="838"/>
      <c r="W395" s="839"/>
    </row>
    <row r="396" spans="1:23" ht="30" customHeight="1" thickBot="1" x14ac:dyDescent="0.3">
      <c r="A396" s="271">
        <v>387</v>
      </c>
      <c r="B396" s="1105" t="s">
        <v>4294</v>
      </c>
      <c r="C396" s="1105"/>
      <c r="D396" s="1105"/>
      <c r="E396" s="1105"/>
      <c r="F396" s="1105"/>
      <c r="G396" s="1106"/>
      <c r="H396" s="838" t="str">
        <f t="shared" si="9"/>
        <v>On peut réutiliser des légumineuses cuites seulement si le refroidissement, la traçabilité et la qualité sont corrects.</v>
      </c>
      <c r="I396" s="838"/>
      <c r="J396" s="838"/>
      <c r="K396" s="838"/>
      <c r="L396" s="838"/>
      <c r="M396" s="838"/>
      <c r="N396" s="838"/>
      <c r="O396" s="838"/>
      <c r="P396" s="838"/>
      <c r="Q396" s="838"/>
      <c r="R396" s="838"/>
      <c r="S396" s="838"/>
      <c r="T396" s="838"/>
      <c r="U396" s="838"/>
      <c r="V396" s="838"/>
      <c r="W396" s="839"/>
    </row>
    <row r="397" spans="1:23" ht="30" customHeight="1" thickBot="1" x14ac:dyDescent="0.3">
      <c r="A397" s="271">
        <v>388</v>
      </c>
      <c r="B397" s="1105" t="s">
        <v>4140</v>
      </c>
      <c r="C397" s="1105"/>
      <c r="D397" s="1105"/>
      <c r="E397" s="1105"/>
      <c r="F397" s="1105"/>
      <c r="G397" s="1106"/>
      <c r="H397" s="838" t="str">
        <f t="shared" si="9"/>
        <v>Pas assez assaisonné.</v>
      </c>
      <c r="I397" s="838"/>
      <c r="J397" s="838"/>
      <c r="K397" s="838"/>
      <c r="L397" s="838"/>
      <c r="M397" s="838"/>
      <c r="N397" s="838"/>
      <c r="O397" s="838"/>
      <c r="P397" s="838"/>
      <c r="Q397" s="838"/>
      <c r="R397" s="838"/>
      <c r="S397" s="838"/>
      <c r="T397" s="838"/>
      <c r="U397" s="838"/>
      <c r="V397" s="838"/>
      <c r="W397" s="839"/>
    </row>
    <row r="398" spans="1:23" ht="30" customHeight="1" thickBot="1" x14ac:dyDescent="0.3">
      <c r="A398" s="271">
        <v>389</v>
      </c>
      <c r="B398" s="1105" t="s">
        <v>4130</v>
      </c>
      <c r="C398" s="1105"/>
      <c r="D398" s="1105"/>
      <c r="E398" s="1105"/>
      <c r="F398" s="1105"/>
      <c r="G398" s="1106"/>
      <c r="H398" s="838" t="str">
        <f t="shared" si="9"/>
        <v>Personne a aimé.</v>
      </c>
      <c r="I398" s="838"/>
      <c r="J398" s="838"/>
      <c r="K398" s="838"/>
      <c r="L398" s="838"/>
      <c r="M398" s="838"/>
      <c r="N398" s="838"/>
      <c r="O398" s="838"/>
      <c r="P398" s="838"/>
      <c r="Q398" s="838"/>
      <c r="R398" s="838"/>
      <c r="S398" s="838"/>
      <c r="T398" s="838"/>
      <c r="U398" s="838"/>
      <c r="V398" s="838"/>
      <c r="W398" s="839"/>
    </row>
    <row r="399" spans="1:23" ht="30" customHeight="1" thickBot="1" x14ac:dyDescent="0.3">
      <c r="A399" s="271">
        <v>390</v>
      </c>
      <c r="B399" s="1105" t="s">
        <v>4127</v>
      </c>
      <c r="C399" s="1105"/>
      <c r="D399" s="1105"/>
      <c r="E399" s="1105"/>
      <c r="F399" s="1105"/>
      <c r="G399" s="1106"/>
      <c r="H399" s="838" t="str">
        <f t="shared" si="9"/>
        <v>Plat pas expliqué.</v>
      </c>
      <c r="I399" s="838"/>
      <c r="J399" s="838"/>
      <c r="K399" s="838"/>
      <c r="L399" s="838"/>
      <c r="M399" s="838"/>
      <c r="N399" s="838"/>
      <c r="O399" s="838"/>
      <c r="P399" s="838"/>
      <c r="Q399" s="838"/>
      <c r="R399" s="838"/>
      <c r="S399" s="838"/>
      <c r="T399" s="838"/>
      <c r="U399" s="838"/>
      <c r="V399" s="838"/>
      <c r="W399" s="839"/>
    </row>
    <row r="400" spans="1:23" ht="30" customHeight="1" thickBot="1" x14ac:dyDescent="0.3">
      <c r="A400" s="271">
        <v>391</v>
      </c>
      <c r="B400" s="1105" t="s">
        <v>4118</v>
      </c>
      <c r="C400" s="1105"/>
      <c r="D400" s="1105"/>
      <c r="E400" s="1105"/>
      <c r="F400" s="1105"/>
      <c r="G400" s="1106"/>
      <c r="H400" s="838" t="str">
        <f t="shared" si="9"/>
        <v>Plat sec, pas assez de sauce.</v>
      </c>
      <c r="I400" s="838"/>
      <c r="J400" s="838"/>
      <c r="K400" s="838"/>
      <c r="L400" s="838"/>
      <c r="M400" s="838"/>
      <c r="N400" s="838"/>
      <c r="O400" s="838"/>
      <c r="P400" s="838"/>
      <c r="Q400" s="838"/>
      <c r="R400" s="838"/>
      <c r="S400" s="838"/>
      <c r="T400" s="838"/>
      <c r="U400" s="838"/>
      <c r="V400" s="838"/>
      <c r="W400" s="839"/>
    </row>
    <row r="401" spans="1:23" ht="30" customHeight="1" thickBot="1" x14ac:dyDescent="0.3">
      <c r="A401" s="271">
        <v>392</v>
      </c>
      <c r="B401" s="1105" t="s">
        <v>4323</v>
      </c>
      <c r="C401" s="1105"/>
      <c r="D401" s="1105"/>
      <c r="E401" s="1105"/>
      <c r="F401" s="1105"/>
      <c r="G401" s="1106"/>
      <c r="H401" s="838" t="str">
        <f t="shared" si="9"/>
        <v>Pois chiches, boulgour, carottes et sauce yaourt peuvent faire un plat complet, mais il faut noter le lait et le gluten.</v>
      </c>
      <c r="I401" s="838"/>
      <c r="J401" s="838"/>
      <c r="K401" s="838"/>
      <c r="L401" s="838"/>
      <c r="M401" s="838"/>
      <c r="N401" s="838"/>
      <c r="O401" s="838"/>
      <c r="P401" s="838"/>
      <c r="Q401" s="838"/>
      <c r="R401" s="838"/>
      <c r="S401" s="838"/>
      <c r="T401" s="838"/>
      <c r="U401" s="838"/>
      <c r="V401" s="838"/>
      <c r="W401" s="839"/>
    </row>
    <row r="402" spans="1:23" ht="30" customHeight="1" thickBot="1" x14ac:dyDescent="0.3">
      <c r="A402" s="271">
        <v>393</v>
      </c>
      <c r="B402" s="1105" t="s">
        <v>4241</v>
      </c>
      <c r="C402" s="1105"/>
      <c r="D402" s="1105"/>
      <c r="E402" s="1105"/>
      <c r="F402" s="1105"/>
      <c r="G402" s="1106"/>
      <c r="H402" s="838" t="str">
        <f t="shared" si="9"/>
        <v>Pour améliorer le goût d’un plat végétal, je mettrais des épices douces, des herbes, un peu d’acidité et assez de sauce.</v>
      </c>
      <c r="I402" s="838"/>
      <c r="J402" s="838"/>
      <c r="K402" s="838"/>
      <c r="L402" s="838"/>
      <c r="M402" s="838"/>
      <c r="N402" s="838"/>
      <c r="O402" s="838"/>
      <c r="P402" s="838"/>
      <c r="Q402" s="838"/>
      <c r="R402" s="838"/>
      <c r="S402" s="838"/>
      <c r="T402" s="838"/>
      <c r="U402" s="838"/>
      <c r="V402" s="838"/>
      <c r="W402" s="839"/>
    </row>
    <row r="403" spans="1:23" ht="30" customHeight="1" thickBot="1" x14ac:dyDescent="0.3">
      <c r="A403" s="271">
        <v>394</v>
      </c>
      <c r="B403" s="1105" t="s">
        <v>4316</v>
      </c>
      <c r="C403" s="1105"/>
      <c r="D403" s="1105"/>
      <c r="E403" s="1105"/>
      <c r="F403" s="1105"/>
      <c r="G403" s="1106"/>
      <c r="H403" s="838" t="str">
        <f t="shared" si="9"/>
        <v>Pour améliorer le plan, il faut réduire le gaspillage, mettre plus de goût, plus de sauce et tester avec les élèves.</v>
      </c>
      <c r="I403" s="838"/>
      <c r="J403" s="838"/>
      <c r="K403" s="838"/>
      <c r="L403" s="838"/>
      <c r="M403" s="838"/>
      <c r="N403" s="838"/>
      <c r="O403" s="838"/>
      <c r="P403" s="838"/>
      <c r="Q403" s="838"/>
      <c r="R403" s="838"/>
      <c r="S403" s="838"/>
      <c r="T403" s="838"/>
      <c r="U403" s="838"/>
      <c r="V403" s="838"/>
      <c r="W403" s="839"/>
    </row>
    <row r="404" spans="1:23" ht="30" customHeight="1" thickBot="1" x14ac:dyDescent="0.3">
      <c r="A404" s="271">
        <v>395</v>
      </c>
      <c r="B404" s="1105" t="s">
        <v>3300</v>
      </c>
      <c r="C404" s="1105"/>
      <c r="D404" s="1105"/>
      <c r="E404" s="1105"/>
      <c r="F404" s="1105"/>
      <c r="G404" s="1106"/>
      <c r="H404" s="838" t="str">
        <f t="shared" si="9"/>
        <v>Pour améliorer une recette aux pois cassés, on peut travailler le mixage, la sauce, les herbes et les épices.</v>
      </c>
      <c r="I404" s="838"/>
      <c r="J404" s="838"/>
      <c r="K404" s="838"/>
      <c r="L404" s="838"/>
      <c r="M404" s="838"/>
      <c r="N404" s="838"/>
      <c r="O404" s="838"/>
      <c r="P404" s="838"/>
      <c r="Q404" s="838"/>
      <c r="R404" s="838"/>
      <c r="S404" s="838"/>
      <c r="T404" s="838"/>
      <c r="U404" s="838"/>
      <c r="V404" s="838"/>
      <c r="W404" s="839"/>
    </row>
    <row r="405" spans="1:23" ht="30" customHeight="1" thickBot="1" x14ac:dyDescent="0.3">
      <c r="A405" s="271">
        <v>396</v>
      </c>
      <c r="B405" s="1105" t="s">
        <v>4352</v>
      </c>
      <c r="C405" s="1105"/>
      <c r="D405" s="1105"/>
      <c r="E405" s="1105"/>
      <c r="F405" s="1105"/>
      <c r="G405" s="1106"/>
      <c r="H405" s="838" t="str">
        <f t="shared" si="9"/>
        <v>Pour comprendre le gaspillage, il faut regarder les retours plateau selon le plat, le jour, la garniture et le public.</v>
      </c>
      <c r="I405" s="838"/>
      <c r="J405" s="838"/>
      <c r="K405" s="838"/>
      <c r="L405" s="838"/>
      <c r="M405" s="838"/>
      <c r="N405" s="838"/>
      <c r="O405" s="838"/>
      <c r="P405" s="838"/>
      <c r="Q405" s="838"/>
      <c r="R405" s="838"/>
      <c r="S405" s="838"/>
      <c r="T405" s="838"/>
      <c r="U405" s="838"/>
      <c r="V405" s="838"/>
      <c r="W405" s="839"/>
    </row>
    <row r="406" spans="1:23" ht="30" customHeight="1" thickBot="1" x14ac:dyDescent="0.3">
      <c r="A406" s="271">
        <v>397</v>
      </c>
      <c r="B406" s="1105" t="s">
        <v>4314</v>
      </c>
      <c r="C406" s="1105"/>
      <c r="D406" s="1105"/>
      <c r="E406" s="1105"/>
      <c r="F406" s="1105"/>
      <c r="G406" s="1106"/>
      <c r="H406" s="838" t="str">
        <f t="shared" si="9"/>
        <v>Pour corriger un plat, on peut réduire la portion, améliorer la sauce, changer le nom et refaire un test.</v>
      </c>
      <c r="I406" s="838"/>
      <c r="J406" s="838"/>
      <c r="K406" s="838"/>
      <c r="L406" s="838"/>
      <c r="M406" s="838"/>
      <c r="N406" s="838"/>
      <c r="O406" s="838"/>
      <c r="P406" s="838"/>
      <c r="Q406" s="838"/>
      <c r="R406" s="838"/>
      <c r="S406" s="838"/>
      <c r="T406" s="838"/>
      <c r="U406" s="838"/>
      <c r="V406" s="838"/>
      <c r="W406" s="839"/>
    </row>
    <row r="407" spans="1:23" ht="30" customHeight="1" thickBot="1" x14ac:dyDescent="0.3">
      <c r="A407" s="271">
        <v>398</v>
      </c>
      <c r="B407" s="1105" t="s">
        <v>4330</v>
      </c>
      <c r="C407" s="1105"/>
      <c r="D407" s="1105"/>
      <c r="E407" s="1105"/>
      <c r="F407" s="1105"/>
      <c r="G407" s="1106"/>
      <c r="H407" s="838" t="str">
        <f t="shared" si="9"/>
        <v>Pour donner du goût aux protéines végétales, il faut travailler les herbes, les épices, l’acidité, la sauce et un peu de gras.</v>
      </c>
      <c r="I407" s="838"/>
      <c r="J407" s="838"/>
      <c r="K407" s="838"/>
      <c r="L407" s="838"/>
      <c r="M407" s="838"/>
      <c r="N407" s="838"/>
      <c r="O407" s="838"/>
      <c r="P407" s="838"/>
      <c r="Q407" s="838"/>
      <c r="R407" s="838"/>
      <c r="S407" s="838"/>
      <c r="T407" s="838"/>
      <c r="U407" s="838"/>
      <c r="V407" s="838"/>
      <c r="W407" s="839"/>
    </row>
    <row r="408" spans="1:23" ht="30" customHeight="1" thickBot="1" x14ac:dyDescent="0.3">
      <c r="A408" s="271">
        <v>399</v>
      </c>
      <c r="B408" s="1105" t="s">
        <v>4306</v>
      </c>
      <c r="C408" s="1105"/>
      <c r="D408" s="1105"/>
      <c r="E408" s="1105"/>
      <c r="F408" s="1105"/>
      <c r="G408" s="1106"/>
      <c r="H408" s="838" t="str">
        <f t="shared" si="9"/>
        <v>Pour éviter le soja, on peut utiliser lentilles, pois chiches, haricots ou pois cassés.</v>
      </c>
      <c r="I408" s="838"/>
      <c r="J408" s="838"/>
      <c r="K408" s="838"/>
      <c r="L408" s="838"/>
      <c r="M408" s="838"/>
      <c r="N408" s="838"/>
      <c r="O408" s="838"/>
      <c r="P408" s="838"/>
      <c r="Q408" s="838"/>
      <c r="R408" s="838"/>
      <c r="S408" s="838"/>
      <c r="T408" s="838"/>
      <c r="U408" s="838"/>
      <c r="V408" s="838"/>
      <c r="W408" s="839"/>
    </row>
    <row r="409" spans="1:23" ht="30" customHeight="1" thickBot="1" x14ac:dyDescent="0.3">
      <c r="A409" s="271">
        <v>400</v>
      </c>
      <c r="B409" s="1105" t="s">
        <v>4244</v>
      </c>
      <c r="C409" s="1105"/>
      <c r="D409" s="1105"/>
      <c r="E409" s="1105"/>
      <c r="F409" s="1105"/>
      <c r="G409" s="1106"/>
      <c r="H409" s="838" t="str">
        <f t="shared" si="9"/>
        <v>Pour faire un plat végétal complet, il faut associer une légumineuse, une céréale, des légumes et un peu de matière grasse.</v>
      </c>
      <c r="I409" s="838"/>
      <c r="J409" s="838"/>
      <c r="K409" s="838"/>
      <c r="L409" s="838"/>
      <c r="M409" s="838"/>
      <c r="N409" s="838"/>
      <c r="O409" s="838"/>
      <c r="P409" s="838"/>
      <c r="Q409" s="838"/>
      <c r="R409" s="838"/>
      <c r="S409" s="838"/>
      <c r="T409" s="838"/>
      <c r="U409" s="838"/>
      <c r="V409" s="838"/>
      <c r="W409" s="839"/>
    </row>
    <row r="410" spans="1:23" ht="30" customHeight="1" thickBot="1" x14ac:dyDescent="0.3">
      <c r="A410" s="271">
        <v>401</v>
      </c>
      <c r="B410" s="1105" t="s">
        <v>4240</v>
      </c>
      <c r="C410" s="1105"/>
      <c r="D410" s="1105"/>
      <c r="E410" s="1105"/>
      <c r="F410" s="1105"/>
      <c r="G410" s="1106"/>
      <c r="H410" s="838" t="str">
        <f t="shared" si="9"/>
        <v>Pour le tofu, je choisirais du tofu ferme si on veut le poêler. Le tofu mou irait plutôt dans une sauce ou un dessert, et il faut penser à noter le soja.</v>
      </c>
      <c r="I410" s="838"/>
      <c r="J410" s="838"/>
      <c r="K410" s="838"/>
      <c r="L410" s="838"/>
      <c r="M410" s="838"/>
      <c r="N410" s="838"/>
      <c r="O410" s="838"/>
      <c r="P410" s="838"/>
      <c r="Q410" s="838"/>
      <c r="R410" s="838"/>
      <c r="S410" s="838"/>
      <c r="T410" s="838"/>
      <c r="U410" s="838"/>
      <c r="V410" s="838"/>
      <c r="W410" s="839"/>
    </row>
    <row r="411" spans="1:23" ht="30" customHeight="1" thickBot="1" x14ac:dyDescent="0.3">
      <c r="A411" s="271">
        <v>402</v>
      </c>
      <c r="B411" s="1105" t="s">
        <v>4272</v>
      </c>
      <c r="C411" s="1105"/>
      <c r="D411" s="1105"/>
      <c r="E411" s="1105"/>
      <c r="F411" s="1105"/>
      <c r="G411" s="1106"/>
      <c r="H411" s="838" t="str">
        <f t="shared" si="9"/>
        <v>Pour les personnes âgées, il vaut mieux des textures fondantes, avec sauce, plutôt que des légumineuses entières trop sèches.</v>
      </c>
      <c r="I411" s="838"/>
      <c r="J411" s="838"/>
      <c r="K411" s="838"/>
      <c r="L411" s="838"/>
      <c r="M411" s="838"/>
      <c r="N411" s="838"/>
      <c r="O411" s="838"/>
      <c r="P411" s="838"/>
      <c r="Q411" s="838"/>
      <c r="R411" s="838"/>
      <c r="S411" s="838"/>
      <c r="T411" s="838"/>
      <c r="U411" s="838"/>
      <c r="V411" s="838"/>
      <c r="W411" s="839"/>
    </row>
    <row r="412" spans="1:23" ht="30" customHeight="1" thickBot="1" x14ac:dyDescent="0.3">
      <c r="A412" s="271">
        <v>403</v>
      </c>
      <c r="B412" s="1105" t="s">
        <v>3232</v>
      </c>
      <c r="C412" s="1105"/>
      <c r="D412" s="1105"/>
      <c r="E412" s="1105"/>
      <c r="F412" s="1105"/>
      <c r="G412" s="1106"/>
      <c r="H412" s="838" t="str">
        <f t="shared" si="9"/>
        <v>Pour limiter le gaspillage, on améliore le goût, l’assaisonnement, la sauce et la communication au self.</v>
      </c>
      <c r="I412" s="838"/>
      <c r="J412" s="838"/>
      <c r="K412" s="838"/>
      <c r="L412" s="838"/>
      <c r="M412" s="838"/>
      <c r="N412" s="838"/>
      <c r="O412" s="838"/>
      <c r="P412" s="838"/>
      <c r="Q412" s="838"/>
      <c r="R412" s="838"/>
      <c r="S412" s="838"/>
      <c r="T412" s="838"/>
      <c r="U412" s="838"/>
      <c r="V412" s="838"/>
      <c r="W412" s="839"/>
    </row>
    <row r="413" spans="1:23" ht="30" customHeight="1" thickBot="1" x14ac:dyDescent="0.3">
      <c r="A413" s="271">
        <v>404</v>
      </c>
      <c r="B413" s="1105" t="s">
        <v>4286</v>
      </c>
      <c r="C413" s="1105"/>
      <c r="D413" s="1105"/>
      <c r="E413" s="1105"/>
      <c r="F413" s="1105"/>
      <c r="G413" s="1106"/>
      <c r="H413" s="838" t="str">
        <f t="shared" si="9"/>
        <v>Pour que les élèves acceptent mieux les légumineuses, on peut ajouter une sauce tomate, des épices douces ou un peu de croustillant.</v>
      </c>
      <c r="I413" s="838"/>
      <c r="J413" s="838"/>
      <c r="K413" s="838"/>
      <c r="L413" s="838"/>
      <c r="M413" s="838"/>
      <c r="N413" s="838"/>
      <c r="O413" s="838"/>
      <c r="P413" s="838"/>
      <c r="Q413" s="838"/>
      <c r="R413" s="838"/>
      <c r="S413" s="838"/>
      <c r="T413" s="838"/>
      <c r="U413" s="838"/>
      <c r="V413" s="838"/>
      <c r="W413" s="839"/>
    </row>
    <row r="414" spans="1:23" ht="30" customHeight="1" thickBot="1" x14ac:dyDescent="0.3">
      <c r="A414" s="271">
        <v>405</v>
      </c>
      <c r="B414" s="1105" t="s">
        <v>4354</v>
      </c>
      <c r="C414" s="1105"/>
      <c r="D414" s="1105"/>
      <c r="E414" s="1105"/>
      <c r="F414" s="1105"/>
      <c r="G414" s="1106"/>
      <c r="H414" s="838" t="str">
        <f t="shared" si="9"/>
        <v>Pour savoir si une recette plaît, il faut croiser la note des élèves, les quantités servies et les restes assiette.</v>
      </c>
      <c r="I414" s="838"/>
      <c r="J414" s="838"/>
      <c r="K414" s="838"/>
      <c r="L414" s="838"/>
      <c r="M414" s="838"/>
      <c r="N414" s="838"/>
      <c r="O414" s="838"/>
      <c r="P414" s="838"/>
      <c r="Q414" s="838"/>
      <c r="R414" s="838"/>
      <c r="S414" s="838"/>
      <c r="T414" s="838"/>
      <c r="U414" s="838"/>
      <c r="V414" s="838"/>
      <c r="W414" s="839"/>
    </row>
    <row r="415" spans="1:23" ht="30" customHeight="1" thickBot="1" x14ac:dyDescent="0.3">
      <c r="A415" s="271">
        <v>406</v>
      </c>
      <c r="B415" s="1105" t="s">
        <v>4268</v>
      </c>
      <c r="C415" s="1105"/>
      <c r="D415" s="1105"/>
      <c r="E415" s="1105"/>
      <c r="F415" s="1105"/>
      <c r="G415" s="1106"/>
      <c r="H415" s="838" t="str">
        <f t="shared" si="9"/>
        <v>Pour un banquet, il vaut mieux prévoir un plat végétal en sauce, qui supporte l’attente et qui reste facile à servir.</v>
      </c>
      <c r="I415" s="838"/>
      <c r="J415" s="838"/>
      <c r="K415" s="838"/>
      <c r="L415" s="838"/>
      <c r="M415" s="838"/>
      <c r="N415" s="838"/>
      <c r="O415" s="838"/>
      <c r="P415" s="838"/>
      <c r="Q415" s="838"/>
      <c r="R415" s="838"/>
      <c r="S415" s="838"/>
      <c r="T415" s="838"/>
      <c r="U415" s="838"/>
      <c r="V415" s="838"/>
      <c r="W415" s="839"/>
    </row>
    <row r="416" spans="1:23" ht="30" customHeight="1" thickBot="1" x14ac:dyDescent="0.3">
      <c r="A416" s="271">
        <v>407</v>
      </c>
      <c r="B416" s="1105" t="s">
        <v>4308</v>
      </c>
      <c r="C416" s="1105"/>
      <c r="D416" s="1105"/>
      <c r="E416" s="1105"/>
      <c r="F416" s="1105"/>
      <c r="G416" s="1106"/>
      <c r="H416" s="838" t="str">
        <f t="shared" si="9"/>
        <v>Pour un menu sportif, il faut assez d’énergie, des légumineuses, des céréales, des légumes et une bonne digestibilité.</v>
      </c>
      <c r="I416" s="838"/>
      <c r="J416" s="838"/>
      <c r="K416" s="838"/>
      <c r="L416" s="838"/>
      <c r="M416" s="838"/>
      <c r="N416" s="838"/>
      <c r="O416" s="838"/>
      <c r="P416" s="838"/>
      <c r="Q416" s="838"/>
      <c r="R416" s="838"/>
      <c r="S416" s="838"/>
      <c r="T416" s="838"/>
      <c r="U416" s="838"/>
      <c r="V416" s="838"/>
      <c r="W416" s="839"/>
    </row>
    <row r="417" spans="1:23" ht="30" customHeight="1" thickBot="1" x14ac:dyDescent="0.3">
      <c r="A417" s="271">
        <v>408</v>
      </c>
      <c r="B417" s="1105" t="s">
        <v>3316</v>
      </c>
      <c r="C417" s="1105"/>
      <c r="D417" s="1105"/>
      <c r="E417" s="1105"/>
      <c r="F417" s="1105"/>
      <c r="G417" s="1106"/>
      <c r="H417" s="838" t="str">
        <f t="shared" si="9"/>
        <v>Pour un plat mixé, il faut garder une texture lisse et un goût reconnaissable.</v>
      </c>
      <c r="I417" s="838"/>
      <c r="J417" s="838"/>
      <c r="K417" s="838"/>
      <c r="L417" s="838"/>
      <c r="M417" s="838"/>
      <c r="N417" s="838"/>
      <c r="O417" s="838"/>
      <c r="P417" s="838"/>
      <c r="Q417" s="838"/>
      <c r="R417" s="838"/>
      <c r="S417" s="838"/>
      <c r="T417" s="838"/>
      <c r="U417" s="838"/>
      <c r="V417" s="838"/>
      <c r="W417" s="839"/>
    </row>
    <row r="418" spans="1:23" ht="30" customHeight="1" thickBot="1" x14ac:dyDescent="0.3">
      <c r="A418" s="271">
        <v>409</v>
      </c>
      <c r="B418" s="1105" t="s">
        <v>4347</v>
      </c>
      <c r="C418" s="1105"/>
      <c r="D418" s="1105"/>
      <c r="E418" s="1105"/>
      <c r="F418" s="1105"/>
      <c r="G418" s="1106"/>
      <c r="H418" s="838" t="str">
        <f t="shared" si="9"/>
        <v>Pour un public fragile, il faut vérifier que les pois cassés et le blé apportent assez de protéines sans trop de fibres.</v>
      </c>
      <c r="I418" s="838"/>
      <c r="J418" s="838"/>
      <c r="K418" s="838"/>
      <c r="L418" s="838"/>
      <c r="M418" s="838"/>
      <c r="N418" s="838"/>
      <c r="O418" s="838"/>
      <c r="P418" s="838"/>
      <c r="Q418" s="838"/>
      <c r="R418" s="838"/>
      <c r="S418" s="838"/>
      <c r="T418" s="838"/>
      <c r="U418" s="838"/>
      <c r="V418" s="838"/>
      <c r="W418" s="839"/>
    </row>
    <row r="419" spans="1:23" ht="30" customHeight="1" thickBot="1" x14ac:dyDescent="0.3">
      <c r="A419" s="271">
        <v>410</v>
      </c>
      <c r="B419" s="1105" t="s">
        <v>4300</v>
      </c>
      <c r="C419" s="1105"/>
      <c r="D419" s="1105"/>
      <c r="E419" s="1105"/>
      <c r="F419" s="1105"/>
      <c r="G419" s="1106"/>
      <c r="H419" s="838" t="str">
        <f t="shared" si="9"/>
        <v>Pour une crèche, le plat végétal doit être doux, pas trop épicé, avec une texture adaptée et des allergènes bien contrôlés.</v>
      </c>
      <c r="I419" s="838"/>
      <c r="J419" s="838"/>
      <c r="K419" s="838"/>
      <c r="L419" s="838"/>
      <c r="M419" s="838"/>
      <c r="N419" s="838"/>
      <c r="O419" s="838"/>
      <c r="P419" s="838"/>
      <c r="Q419" s="838"/>
      <c r="R419" s="838"/>
      <c r="S419" s="838"/>
      <c r="T419" s="838"/>
      <c r="U419" s="838"/>
      <c r="V419" s="838"/>
      <c r="W419" s="839"/>
    </row>
    <row r="420" spans="1:23" ht="30" customHeight="1" thickBot="1" x14ac:dyDescent="0.3">
      <c r="A420" s="271">
        <v>411</v>
      </c>
      <c r="B420" s="1105" t="s">
        <v>3336</v>
      </c>
      <c r="C420" s="1105"/>
      <c r="D420" s="1105"/>
      <c r="E420" s="1105"/>
      <c r="F420" s="1105"/>
      <c r="G420" s="1106"/>
      <c r="H420" s="838" t="str">
        <f t="shared" si="9"/>
        <v>Pour varier, on peut alterner lentilles vertes, lentilles corail, haricots blancs, pois chiches et pois cassés.</v>
      </c>
      <c r="I420" s="838"/>
      <c r="J420" s="838"/>
      <c r="K420" s="838"/>
      <c r="L420" s="838"/>
      <c r="M420" s="838"/>
      <c r="N420" s="838"/>
      <c r="O420" s="838"/>
      <c r="P420" s="838"/>
      <c r="Q420" s="838"/>
      <c r="R420" s="838"/>
      <c r="S420" s="838"/>
      <c r="T420" s="838"/>
      <c r="U420" s="838"/>
      <c r="V420" s="838"/>
      <c r="W420" s="839"/>
    </row>
    <row r="421" spans="1:23" ht="30" customHeight="1" thickBot="1" x14ac:dyDescent="0.3">
      <c r="A421" s="271">
        <v>412</v>
      </c>
      <c r="B421" s="1105" t="s">
        <v>3468</v>
      </c>
      <c r="C421" s="1105"/>
      <c r="D421" s="1105"/>
      <c r="E421" s="1105"/>
      <c r="F421" s="1105"/>
      <c r="G421" s="1106"/>
      <c r="H421" s="838" t="str">
        <f t="shared" si="9"/>
        <v>Quand on change un ingrédient, il faut revérifier la fiche technique et les allergènes.</v>
      </c>
      <c r="I421" s="838"/>
      <c r="J421" s="838"/>
      <c r="K421" s="838"/>
      <c r="L421" s="838"/>
      <c r="M421" s="838"/>
      <c r="N421" s="838"/>
      <c r="O421" s="838"/>
      <c r="P421" s="838"/>
      <c r="Q421" s="838"/>
      <c r="R421" s="838"/>
      <c r="S421" s="838"/>
      <c r="T421" s="838"/>
      <c r="U421" s="838"/>
      <c r="V421" s="838"/>
      <c r="W421" s="839"/>
    </row>
    <row r="422" spans="1:23" ht="30" customHeight="1" thickBot="1" x14ac:dyDescent="0.3">
      <c r="A422" s="271">
        <v>413</v>
      </c>
      <c r="B422" s="1105" t="s">
        <v>4125</v>
      </c>
      <c r="C422" s="1105"/>
      <c r="D422" s="1105"/>
      <c r="E422" s="1105"/>
      <c r="F422" s="1105"/>
      <c r="G422" s="1106"/>
      <c r="H422" s="838" t="str">
        <f t="shared" si="9"/>
        <v>Seitan égale gluten.</v>
      </c>
      <c r="I422" s="838"/>
      <c r="J422" s="838"/>
      <c r="K422" s="838"/>
      <c r="L422" s="838"/>
      <c r="M422" s="838"/>
      <c r="N422" s="838"/>
      <c r="O422" s="838"/>
      <c r="P422" s="838"/>
      <c r="Q422" s="838"/>
      <c r="R422" s="838"/>
      <c r="S422" s="838"/>
      <c r="T422" s="838"/>
      <c r="U422" s="838"/>
      <c r="V422" s="838"/>
      <c r="W422" s="839"/>
    </row>
    <row r="423" spans="1:23" ht="30" customHeight="1" thickBot="1" x14ac:dyDescent="0.3">
      <c r="A423" s="271">
        <v>414</v>
      </c>
      <c r="B423" s="1105" t="s">
        <v>4343</v>
      </c>
      <c r="C423" s="1105"/>
      <c r="D423" s="1105"/>
      <c r="E423" s="1105"/>
      <c r="F423" s="1105"/>
      <c r="G423" s="1106"/>
      <c r="H423" s="838" t="str">
        <f t="shared" si="9"/>
        <v>Si la satisfaction est basse, c’est peut-être parce que le plat manque de croustillant, que le nom n’est pas clair ou que la sauce est trop liquide.</v>
      </c>
      <c r="I423" s="838"/>
      <c r="J423" s="838"/>
      <c r="K423" s="838"/>
      <c r="L423" s="838"/>
      <c r="M423" s="838"/>
      <c r="N423" s="838"/>
      <c r="O423" s="838"/>
      <c r="P423" s="838"/>
      <c r="Q423" s="838"/>
      <c r="R423" s="838"/>
      <c r="S423" s="838"/>
      <c r="T423" s="838"/>
      <c r="U423" s="838"/>
      <c r="V423" s="838"/>
      <c r="W423" s="839"/>
    </row>
    <row r="424" spans="1:23" ht="30" customHeight="1" thickBot="1" x14ac:dyDescent="0.3">
      <c r="A424" s="271">
        <v>415</v>
      </c>
      <c r="B424" s="1105" t="s">
        <v>4252</v>
      </c>
      <c r="C424" s="1105"/>
      <c r="D424" s="1105"/>
      <c r="E424" s="1105"/>
      <c r="F424" s="1105"/>
      <c r="G424" s="1106"/>
      <c r="H424" s="838" t="str">
        <f t="shared" si="9"/>
        <v>Si le plat est trop beige ou trop triste, on peut ajouter des herbes, des légumes colorés et une sauce visible.</v>
      </c>
      <c r="I424" s="838"/>
      <c r="J424" s="838"/>
      <c r="K424" s="838"/>
      <c r="L424" s="838"/>
      <c r="M424" s="838"/>
      <c r="N424" s="838"/>
      <c r="O424" s="838"/>
      <c r="P424" s="838"/>
      <c r="Q424" s="838"/>
      <c r="R424" s="838"/>
      <c r="S424" s="838"/>
      <c r="T424" s="838"/>
      <c r="U424" s="838"/>
      <c r="V424" s="838"/>
      <c r="W424" s="839"/>
    </row>
    <row r="425" spans="1:23" ht="30" customHeight="1" thickBot="1" x14ac:dyDescent="0.3">
      <c r="A425" s="271">
        <v>416</v>
      </c>
      <c r="B425" s="1105" t="s">
        <v>3372</v>
      </c>
      <c r="C425" s="1105"/>
      <c r="D425" s="1105"/>
      <c r="E425" s="1105"/>
      <c r="F425" s="1105"/>
      <c r="G425" s="1106"/>
      <c r="H425" s="838" t="str">
        <f t="shared" si="9"/>
        <v>Si le plat revient presque entier, il faut chercher la cause avant de refaire la même recette.</v>
      </c>
      <c r="I425" s="838"/>
      <c r="J425" s="838"/>
      <c r="K425" s="838"/>
      <c r="L425" s="838"/>
      <c r="M425" s="838"/>
      <c r="N425" s="838"/>
      <c r="O425" s="838"/>
      <c r="P425" s="838"/>
      <c r="Q425" s="838"/>
      <c r="R425" s="838"/>
      <c r="S425" s="838"/>
      <c r="T425" s="838"/>
      <c r="U425" s="838"/>
      <c r="V425" s="838"/>
      <c r="W425" s="839"/>
    </row>
    <row r="426" spans="1:23" ht="30" customHeight="1" thickBot="1" x14ac:dyDescent="0.3">
      <c r="A426" s="271">
        <v>417</v>
      </c>
      <c r="B426" s="1105" t="s">
        <v>3288</v>
      </c>
      <c r="C426" s="1105"/>
      <c r="D426" s="1105"/>
      <c r="E426" s="1105"/>
      <c r="F426" s="1105"/>
      <c r="G426" s="1106"/>
      <c r="H426" s="838" t="str">
        <f t="shared" si="9"/>
        <v>Si les convives ne comprennent pas le nom du plat, ils goûtent moins facilement et le gaspillage peut augmenter.</v>
      </c>
      <c r="I426" s="838"/>
      <c r="J426" s="838"/>
      <c r="K426" s="838"/>
      <c r="L426" s="838"/>
      <c r="M426" s="838"/>
      <c r="N426" s="838"/>
      <c r="O426" s="838"/>
      <c r="P426" s="838"/>
      <c r="Q426" s="838"/>
      <c r="R426" s="838"/>
      <c r="S426" s="838"/>
      <c r="T426" s="838"/>
      <c r="U426" s="838"/>
      <c r="V426" s="838"/>
      <c r="W426" s="839"/>
    </row>
    <row r="427" spans="1:23" ht="30" customHeight="1" thickBot="1" x14ac:dyDescent="0.3">
      <c r="A427" s="271">
        <v>418</v>
      </c>
      <c r="B427" s="1105" t="s">
        <v>4275</v>
      </c>
      <c r="C427" s="1105"/>
      <c r="D427" s="1105"/>
      <c r="E427" s="1105"/>
      <c r="F427" s="1105"/>
      <c r="G427" s="1106"/>
      <c r="H427" s="838" t="str">
        <f t="shared" si="9"/>
        <v>Si les élèves ne reconnaissent pas le plat, si c’est mou et sans sauce, ils risquent de ne pas le prendre.</v>
      </c>
      <c r="I427" s="838"/>
      <c r="J427" s="838"/>
      <c r="K427" s="838"/>
      <c r="L427" s="838"/>
      <c r="M427" s="838"/>
      <c r="N427" s="838"/>
      <c r="O427" s="838"/>
      <c r="P427" s="838"/>
      <c r="Q427" s="838"/>
      <c r="R427" s="838"/>
      <c r="S427" s="838"/>
      <c r="T427" s="838"/>
      <c r="U427" s="838"/>
      <c r="V427" s="838"/>
      <c r="W427" s="839"/>
    </row>
    <row r="428" spans="1:23" ht="30" customHeight="1" thickBot="1" x14ac:dyDescent="0.3">
      <c r="A428" s="271">
        <v>419</v>
      </c>
      <c r="B428" s="1105" t="s">
        <v>4242</v>
      </c>
      <c r="C428" s="1105"/>
      <c r="D428" s="1105"/>
      <c r="E428" s="1105"/>
      <c r="F428" s="1105"/>
      <c r="G428" s="1106"/>
      <c r="H428" s="838" t="str">
        <f t="shared" si="9"/>
        <v>Si les élèves refusent le plat végétal, ça peut venir du nom du plat, de la couleur pas appétissante ou parce qu’on ne voit pas bien la garniture.</v>
      </c>
      <c r="I428" s="838"/>
      <c r="J428" s="838"/>
      <c r="K428" s="838"/>
      <c r="L428" s="838"/>
      <c r="M428" s="838"/>
      <c r="N428" s="838"/>
      <c r="O428" s="838"/>
      <c r="P428" s="838"/>
      <c r="Q428" s="838"/>
      <c r="R428" s="838"/>
      <c r="S428" s="838"/>
      <c r="T428" s="838"/>
      <c r="U428" s="838"/>
      <c r="V428" s="838"/>
      <c r="W428" s="839"/>
    </row>
    <row r="429" spans="1:23" ht="30" customHeight="1" thickBot="1" x14ac:dyDescent="0.3">
      <c r="A429" s="271">
        <v>420</v>
      </c>
      <c r="B429" s="1105" t="s">
        <v>4344</v>
      </c>
      <c r="C429" s="1105"/>
      <c r="D429" s="1105"/>
      <c r="E429" s="1105"/>
      <c r="F429" s="1105"/>
      <c r="G429" s="1106"/>
      <c r="H429" s="838" t="str">
        <f t="shared" si="9"/>
        <v>Si les lentilles accrochent à la cuisson, il faut plus de liquide, remuer et surveiller le refroidissement.</v>
      </c>
      <c r="I429" s="838"/>
      <c r="J429" s="838"/>
      <c r="K429" s="838"/>
      <c r="L429" s="838"/>
      <c r="M429" s="838"/>
      <c r="N429" s="838"/>
      <c r="O429" s="838"/>
      <c r="P429" s="838"/>
      <c r="Q429" s="838"/>
      <c r="R429" s="838"/>
      <c r="S429" s="838"/>
      <c r="T429" s="838"/>
      <c r="U429" s="838"/>
      <c r="V429" s="838"/>
      <c r="W429" s="839"/>
    </row>
    <row r="430" spans="1:23" ht="30" customHeight="1" thickBot="1" x14ac:dyDescent="0.3">
      <c r="A430" s="271">
        <v>421</v>
      </c>
      <c r="B430" s="1105" t="s">
        <v>4265</v>
      </c>
      <c r="C430" s="1105"/>
      <c r="D430" s="1105"/>
      <c r="E430" s="1105"/>
      <c r="F430" s="1105"/>
      <c r="G430" s="1106"/>
      <c r="H430" s="838" t="str">
        <f t="shared" si="9"/>
        <v>Si les lentilles sont trop cuites, elles deviennent pâteuses et le plat est moins agréable.</v>
      </c>
      <c r="I430" s="838"/>
      <c r="J430" s="838"/>
      <c r="K430" s="838"/>
      <c r="L430" s="838"/>
      <c r="M430" s="838"/>
      <c r="N430" s="838"/>
      <c r="O430" s="838"/>
      <c r="P430" s="838"/>
      <c r="Q430" s="838"/>
      <c r="R430" s="838"/>
      <c r="S430" s="838"/>
      <c r="T430" s="838"/>
      <c r="U430" s="838"/>
      <c r="V430" s="838"/>
      <c r="W430" s="839"/>
    </row>
    <row r="431" spans="1:23" ht="30" customHeight="1" thickBot="1" x14ac:dyDescent="0.3">
      <c r="A431" s="271">
        <v>422</v>
      </c>
      <c r="B431" s="1105" t="s">
        <v>4253</v>
      </c>
      <c r="C431" s="1105"/>
      <c r="D431" s="1105"/>
      <c r="E431" s="1105"/>
      <c r="F431" s="1105"/>
      <c r="G431" s="1106"/>
      <c r="H431" s="838" t="str">
        <f t="shared" si="9"/>
        <v>Si les portions de chili végétal sont trop grosses, il y aura plus de restes et le plat coûtera plus cher au final.</v>
      </c>
      <c r="I431" s="838"/>
      <c r="J431" s="838"/>
      <c r="K431" s="838"/>
      <c r="L431" s="838"/>
      <c r="M431" s="838"/>
      <c r="N431" s="838"/>
      <c r="O431" s="838"/>
      <c r="P431" s="838"/>
      <c r="Q431" s="838"/>
      <c r="R431" s="838"/>
      <c r="S431" s="838"/>
      <c r="T431" s="838"/>
      <c r="U431" s="838"/>
      <c r="V431" s="838"/>
      <c r="W431" s="839"/>
    </row>
    <row r="432" spans="1:23" ht="30" customHeight="1" thickBot="1" x14ac:dyDescent="0.3">
      <c r="A432" s="271">
        <v>423</v>
      </c>
      <c r="B432" s="1105" t="s">
        <v>4216</v>
      </c>
      <c r="C432" s="1105"/>
      <c r="D432" s="1105"/>
      <c r="E432" s="1105"/>
      <c r="F432" s="1105"/>
      <c r="G432" s="1106"/>
      <c r="H432" s="838" t="str">
        <f t="shared" si="9"/>
        <v>Si on change les ingrédients, il faut refaire les allergènes.</v>
      </c>
      <c r="I432" s="838"/>
      <c r="J432" s="838"/>
      <c r="K432" s="838"/>
      <c r="L432" s="838"/>
      <c r="M432" s="838"/>
      <c r="N432" s="838"/>
      <c r="O432" s="838"/>
      <c r="P432" s="838"/>
      <c r="Q432" s="838"/>
      <c r="R432" s="838"/>
      <c r="S432" s="838"/>
      <c r="T432" s="838"/>
      <c r="U432" s="838"/>
      <c r="V432" s="838"/>
      <c r="W432" s="839"/>
    </row>
    <row r="433" spans="1:23" ht="30" customHeight="1" thickBot="1" x14ac:dyDescent="0.3">
      <c r="A433" s="271">
        <v>424</v>
      </c>
      <c r="B433" s="1105" t="s">
        <v>4037</v>
      </c>
      <c r="C433" s="1105"/>
      <c r="D433" s="1105"/>
      <c r="E433" s="1105"/>
      <c r="F433" s="1105"/>
      <c r="G433" s="1106"/>
      <c r="H433" s="838" t="str">
        <f t="shared" si="9"/>
        <v>Si on met de la sauce soja, il faut noter l’allergène soja.</v>
      </c>
      <c r="I433" s="838"/>
      <c r="J433" s="838"/>
      <c r="K433" s="838"/>
      <c r="L433" s="838"/>
      <c r="M433" s="838"/>
      <c r="N433" s="838"/>
      <c r="O433" s="838"/>
      <c r="P433" s="838"/>
      <c r="Q433" s="838"/>
      <c r="R433" s="838"/>
      <c r="S433" s="838"/>
      <c r="T433" s="838"/>
      <c r="U433" s="838"/>
      <c r="V433" s="838"/>
      <c r="W433" s="839"/>
    </row>
    <row r="434" spans="1:23" ht="30" customHeight="1" thickBot="1" x14ac:dyDescent="0.3">
      <c r="A434" s="271">
        <v>425</v>
      </c>
      <c r="B434" s="1105" t="s">
        <v>4296</v>
      </c>
      <c r="C434" s="1105"/>
      <c r="D434" s="1105"/>
      <c r="E434" s="1105"/>
      <c r="F434" s="1105"/>
      <c r="G434" s="1106"/>
      <c r="H434" s="838" t="str">
        <f t="shared" si="9"/>
        <v>Si on remplace les pois chiches par des haricots blancs, il faut revoir la fiche, les allergènes et la texture.</v>
      </c>
      <c r="I434" s="838"/>
      <c r="J434" s="838"/>
      <c r="K434" s="838"/>
      <c r="L434" s="838"/>
      <c r="M434" s="838"/>
      <c r="N434" s="838"/>
      <c r="O434" s="838"/>
      <c r="P434" s="838"/>
      <c r="Q434" s="838"/>
      <c r="R434" s="838"/>
      <c r="S434" s="838"/>
      <c r="T434" s="838"/>
      <c r="U434" s="838"/>
      <c r="V434" s="838"/>
      <c r="W434" s="839"/>
    </row>
    <row r="435" spans="1:23" ht="30" customHeight="1" thickBot="1" x14ac:dyDescent="0.3">
      <c r="A435" s="271">
        <v>426</v>
      </c>
      <c r="B435" s="1105" t="s">
        <v>4245</v>
      </c>
      <c r="C435" s="1105"/>
      <c r="D435" s="1105"/>
      <c r="E435" s="1105"/>
      <c r="F435" s="1105"/>
      <c r="G435" s="1106"/>
      <c r="H435" s="838" t="str">
        <f t="shared" si="9"/>
        <v>Si on sert trop de lentilles ou trop de pois chiches, les élèves peuvent être gênés ou ne pas finir leur assiette.</v>
      </c>
      <c r="I435" s="838"/>
      <c r="J435" s="838"/>
      <c r="K435" s="838"/>
      <c r="L435" s="838"/>
      <c r="M435" s="838"/>
      <c r="N435" s="838"/>
      <c r="O435" s="838"/>
      <c r="P435" s="838"/>
      <c r="Q435" s="838"/>
      <c r="R435" s="838"/>
      <c r="S435" s="838"/>
      <c r="T435" s="838"/>
      <c r="U435" s="838"/>
      <c r="V435" s="838"/>
      <c r="W435" s="839"/>
    </row>
    <row r="436" spans="1:23" ht="30" customHeight="1" thickBot="1" x14ac:dyDescent="0.3">
      <c r="A436" s="271">
        <v>427</v>
      </c>
      <c r="B436" s="1105" t="s">
        <v>4293</v>
      </c>
      <c r="C436" s="1105"/>
      <c r="D436" s="1105"/>
      <c r="E436" s="1105"/>
      <c r="F436" s="1105"/>
      <c r="G436" s="1106"/>
      <c r="H436" s="838" t="str">
        <f t="shared" si="9"/>
        <v>Si on utilise du lupin, il faut bien l’identifier, l’afficher et prévoir une alternative.</v>
      </c>
      <c r="I436" s="838"/>
      <c r="J436" s="838"/>
      <c r="K436" s="838"/>
      <c r="L436" s="838"/>
      <c r="M436" s="838"/>
      <c r="N436" s="838"/>
      <c r="O436" s="838"/>
      <c r="P436" s="838"/>
      <c r="Q436" s="838"/>
      <c r="R436" s="838"/>
      <c r="S436" s="838"/>
      <c r="T436" s="838"/>
      <c r="U436" s="838"/>
      <c r="V436" s="838"/>
      <c r="W436" s="839"/>
    </row>
    <row r="437" spans="1:23" ht="30" customHeight="1" thickBot="1" x14ac:dyDescent="0.3">
      <c r="A437" s="271">
        <v>428</v>
      </c>
      <c r="B437" s="1105" t="s">
        <v>4315</v>
      </c>
      <c r="C437" s="1105"/>
      <c r="D437" s="1105"/>
      <c r="E437" s="1105"/>
      <c r="F437" s="1105"/>
      <c r="G437" s="1106"/>
      <c r="H437" s="838" t="str">
        <f t="shared" si="9"/>
        <v>Si une recette végétale est sèche, il faut ajouter du liquide, une sauce ou un liant pour garder du moelleux.</v>
      </c>
      <c r="I437" s="838"/>
      <c r="J437" s="838"/>
      <c r="K437" s="838"/>
      <c r="L437" s="838"/>
      <c r="M437" s="838"/>
      <c r="N437" s="838"/>
      <c r="O437" s="838"/>
      <c r="P437" s="838"/>
      <c r="Q437" s="838"/>
      <c r="R437" s="838"/>
      <c r="S437" s="838"/>
      <c r="T437" s="838"/>
      <c r="U437" s="838"/>
      <c r="V437" s="838"/>
      <c r="W437" s="839"/>
    </row>
    <row r="438" spans="1:23" ht="30" customHeight="1" thickBot="1" x14ac:dyDescent="0.3">
      <c r="A438" s="271">
        <v>429</v>
      </c>
      <c r="B438" s="1105" t="s">
        <v>4263</v>
      </c>
      <c r="C438" s="1105"/>
      <c r="D438" s="1105"/>
      <c r="E438" s="1105"/>
      <c r="F438" s="1105"/>
      <c r="G438" s="1106"/>
      <c r="H438" s="838" t="str">
        <f t="shared" si="9"/>
        <v>Sur la fiche, il faut vérifier les grammages, les allergènes, le rendement et comment le plat sera réchauffé.</v>
      </c>
      <c r="I438" s="838"/>
      <c r="J438" s="838"/>
      <c r="K438" s="838"/>
      <c r="L438" s="838"/>
      <c r="M438" s="838"/>
      <c r="N438" s="838"/>
      <c r="O438" s="838"/>
      <c r="P438" s="838"/>
      <c r="Q438" s="838"/>
      <c r="R438" s="838"/>
      <c r="S438" s="838"/>
      <c r="T438" s="838"/>
      <c r="U438" s="838"/>
      <c r="V438" s="838"/>
      <c r="W438" s="839"/>
    </row>
    <row r="439" spans="1:23" ht="30" customHeight="1" thickBot="1" x14ac:dyDescent="0.3">
      <c r="A439" s="271">
        <v>430</v>
      </c>
      <c r="B439" s="1105" t="s">
        <v>4121</v>
      </c>
      <c r="C439" s="1105"/>
      <c r="D439" s="1105"/>
      <c r="E439" s="1105"/>
      <c r="F439" s="1105"/>
      <c r="G439" s="1106"/>
      <c r="H439" s="838" t="str">
        <f t="shared" si="9"/>
        <v>Tofu fade.</v>
      </c>
      <c r="I439" s="838"/>
      <c r="J439" s="838"/>
      <c r="K439" s="838"/>
      <c r="L439" s="838"/>
      <c r="M439" s="838"/>
      <c r="N439" s="838"/>
      <c r="O439" s="838"/>
      <c r="P439" s="838"/>
      <c r="Q439" s="838"/>
      <c r="R439" s="838"/>
      <c r="S439" s="838"/>
      <c r="T439" s="838"/>
      <c r="U439" s="838"/>
      <c r="V439" s="838"/>
      <c r="W439" s="839"/>
    </row>
    <row r="440" spans="1:23" ht="30" customHeight="1" thickBot="1" x14ac:dyDescent="0.3">
      <c r="A440" s="271">
        <v>431</v>
      </c>
      <c r="B440" s="1105" t="s">
        <v>4123</v>
      </c>
      <c r="C440" s="1105"/>
      <c r="D440" s="1105"/>
      <c r="E440" s="1105"/>
      <c r="F440" s="1105"/>
      <c r="G440" s="1106"/>
      <c r="H440" s="838" t="str">
        <f t="shared" ref="H440:H503" si="10">B440</f>
        <v>Trop de restes.</v>
      </c>
      <c r="I440" s="838"/>
      <c r="J440" s="838"/>
      <c r="K440" s="838"/>
      <c r="L440" s="838"/>
      <c r="M440" s="838"/>
      <c r="N440" s="838"/>
      <c r="O440" s="838"/>
      <c r="P440" s="838"/>
      <c r="Q440" s="838"/>
      <c r="R440" s="838"/>
      <c r="S440" s="838"/>
      <c r="T440" s="838"/>
      <c r="U440" s="838"/>
      <c r="V440" s="838"/>
      <c r="W440" s="839"/>
    </row>
    <row r="441" spans="1:23" ht="30" customHeight="1" thickBot="1" x14ac:dyDescent="0.3">
      <c r="A441" s="271">
        <v>432</v>
      </c>
      <c r="B441" s="1105" t="s">
        <v>4133</v>
      </c>
      <c r="C441" s="1105"/>
      <c r="D441" s="1105"/>
      <c r="E441" s="1105"/>
      <c r="F441" s="1105"/>
      <c r="G441" s="1106"/>
      <c r="H441" s="838" t="str">
        <f t="shared" si="10"/>
        <v>Trop longtemps au chaud.</v>
      </c>
      <c r="I441" s="838"/>
      <c r="J441" s="838"/>
      <c r="K441" s="838"/>
      <c r="L441" s="838"/>
      <c r="M441" s="838"/>
      <c r="N441" s="838"/>
      <c r="O441" s="838"/>
      <c r="P441" s="838"/>
      <c r="Q441" s="838"/>
      <c r="R441" s="838"/>
      <c r="S441" s="838"/>
      <c r="T441" s="838"/>
      <c r="U441" s="838"/>
      <c r="V441" s="838"/>
      <c r="W441" s="839"/>
    </row>
    <row r="442" spans="1:23" ht="30" customHeight="1" thickBot="1" x14ac:dyDescent="0.3">
      <c r="A442" s="271">
        <v>433</v>
      </c>
      <c r="B442" s="1105" t="s">
        <v>4137</v>
      </c>
      <c r="C442" s="1105"/>
      <c r="D442" s="1105"/>
      <c r="E442" s="1105"/>
      <c r="F442" s="1105"/>
      <c r="G442" s="1106"/>
      <c r="H442" s="838" t="str">
        <f t="shared" si="10"/>
        <v>Trop pâteux.</v>
      </c>
      <c r="I442" s="838"/>
      <c r="J442" s="838"/>
      <c r="K442" s="838"/>
      <c r="L442" s="838"/>
      <c r="M442" s="838"/>
      <c r="N442" s="838"/>
      <c r="O442" s="838"/>
      <c r="P442" s="838"/>
      <c r="Q442" s="838"/>
      <c r="R442" s="838"/>
      <c r="S442" s="838"/>
      <c r="T442" s="838"/>
      <c r="U442" s="838"/>
      <c r="V442" s="838"/>
      <c r="W442" s="839"/>
    </row>
    <row r="443" spans="1:23" ht="30" customHeight="1" thickBot="1" x14ac:dyDescent="0.3">
      <c r="A443" s="271">
        <v>434</v>
      </c>
      <c r="B443" s="1105" t="s">
        <v>3292</v>
      </c>
      <c r="C443" s="1105"/>
      <c r="D443" s="1105"/>
      <c r="E443" s="1105"/>
      <c r="F443" s="1105"/>
      <c r="G443" s="1106"/>
      <c r="H443" s="838" t="str">
        <f t="shared" si="10"/>
        <v>Un affichage allergène doit être clair avant le service, surtout avec soja, gluten, lupin, lait ou fruits à coque.</v>
      </c>
      <c r="I443" s="838"/>
      <c r="J443" s="838"/>
      <c r="K443" s="838"/>
      <c r="L443" s="838"/>
      <c r="M443" s="838"/>
      <c r="N443" s="838"/>
      <c r="O443" s="838"/>
      <c r="P443" s="838"/>
      <c r="Q443" s="838"/>
      <c r="R443" s="838"/>
      <c r="S443" s="838"/>
      <c r="T443" s="838"/>
      <c r="U443" s="838"/>
      <c r="V443" s="838"/>
      <c r="W443" s="839"/>
    </row>
    <row r="444" spans="1:23" ht="30" customHeight="1" thickBot="1" x14ac:dyDescent="0.3">
      <c r="A444" s="271">
        <v>435</v>
      </c>
      <c r="B444" s="1105" t="s">
        <v>4341</v>
      </c>
      <c r="C444" s="1105"/>
      <c r="D444" s="1105"/>
      <c r="E444" s="1105"/>
      <c r="F444" s="1105"/>
      <c r="G444" s="1106"/>
      <c r="H444" s="838" t="str">
        <f t="shared" si="10"/>
        <v>Un bowl avec lentilles, légumes, céréale, sauce et topping peut être attractif si les allergènes sont bien affichés.</v>
      </c>
      <c r="I444" s="838"/>
      <c r="J444" s="838"/>
      <c r="K444" s="838"/>
      <c r="L444" s="838"/>
      <c r="M444" s="838"/>
      <c r="N444" s="838"/>
      <c r="O444" s="838"/>
      <c r="P444" s="838"/>
      <c r="Q444" s="838"/>
      <c r="R444" s="838"/>
      <c r="S444" s="838"/>
      <c r="T444" s="838"/>
      <c r="U444" s="838"/>
      <c r="V444" s="838"/>
      <c r="W444" s="839"/>
    </row>
    <row r="445" spans="1:23" ht="30" customHeight="1" thickBot="1" x14ac:dyDescent="0.3">
      <c r="A445" s="271">
        <v>436</v>
      </c>
      <c r="B445" s="1105" t="s">
        <v>3342</v>
      </c>
      <c r="C445" s="1105"/>
      <c r="D445" s="1105"/>
      <c r="E445" s="1105"/>
      <c r="F445" s="1105"/>
      <c r="G445" s="1106"/>
      <c r="H445" s="838" t="str">
        <f t="shared" si="10"/>
        <v>Un burger végétal doit avoir une galette qui tient, une sauce, du moelleux et du goût.</v>
      </c>
      <c r="I445" s="838"/>
      <c r="J445" s="838"/>
      <c r="K445" s="838"/>
      <c r="L445" s="838"/>
      <c r="M445" s="838"/>
      <c r="N445" s="838"/>
      <c r="O445" s="838"/>
      <c r="P445" s="838"/>
      <c r="Q445" s="838"/>
      <c r="R445" s="838"/>
      <c r="S445" s="838"/>
      <c r="T445" s="838"/>
      <c r="U445" s="838"/>
      <c r="V445" s="838"/>
      <c r="W445" s="839"/>
    </row>
    <row r="446" spans="1:23" ht="30" customHeight="1" thickBot="1" x14ac:dyDescent="0.3">
      <c r="A446" s="271">
        <v>437</v>
      </c>
      <c r="B446" s="1105" t="s">
        <v>4279</v>
      </c>
      <c r="C446" s="1105"/>
      <c r="D446" s="1105"/>
      <c r="E446" s="1105"/>
      <c r="F446" s="1105"/>
      <c r="G446" s="1106"/>
      <c r="H446" s="838" t="str">
        <f t="shared" si="10"/>
        <v>Un cassoulet végétal aux haricots blancs peut marcher si la sauce tomate a du goût et si le plat reste moelleux.</v>
      </c>
      <c r="I446" s="838"/>
      <c r="J446" s="838"/>
      <c r="K446" s="838"/>
      <c r="L446" s="838"/>
      <c r="M446" s="838"/>
      <c r="N446" s="838"/>
      <c r="O446" s="838"/>
      <c r="P446" s="838"/>
      <c r="Q446" s="838"/>
      <c r="R446" s="838"/>
      <c r="S446" s="838"/>
      <c r="T446" s="838"/>
      <c r="U446" s="838"/>
      <c r="V446" s="838"/>
      <c r="W446" s="839"/>
    </row>
    <row r="447" spans="1:23" ht="30" customHeight="1" thickBot="1" x14ac:dyDescent="0.3">
      <c r="A447" s="271">
        <v>438</v>
      </c>
      <c r="B447" s="1105" t="s">
        <v>4298</v>
      </c>
      <c r="C447" s="1105"/>
      <c r="D447" s="1105"/>
      <c r="E447" s="1105"/>
      <c r="F447" s="1105"/>
      <c r="G447" s="1106"/>
      <c r="H447" s="838" t="str">
        <f t="shared" si="10"/>
        <v>Un couscous végétal peut bien passer car les élèves connaissent déjà le plat, mais il faut assez de légumes et de sauce.</v>
      </c>
      <c r="I447" s="838"/>
      <c r="J447" s="838"/>
      <c r="K447" s="838"/>
      <c r="L447" s="838"/>
      <c r="M447" s="838"/>
      <c r="N447" s="838"/>
      <c r="O447" s="838"/>
      <c r="P447" s="838"/>
      <c r="Q447" s="838"/>
      <c r="R447" s="838"/>
      <c r="S447" s="838"/>
      <c r="T447" s="838"/>
      <c r="U447" s="838"/>
      <c r="V447" s="838"/>
      <c r="W447" s="839"/>
    </row>
    <row r="448" spans="1:23" ht="30" customHeight="1" thickBot="1" x14ac:dyDescent="0.3">
      <c r="A448" s="271">
        <v>439</v>
      </c>
      <c r="B448" s="1105" t="s">
        <v>4307</v>
      </c>
      <c r="C448" s="1105"/>
      <c r="D448" s="1105"/>
      <c r="E448" s="1105"/>
      <c r="F448" s="1105"/>
      <c r="G448" s="1106"/>
      <c r="H448" s="838" t="str">
        <f t="shared" si="10"/>
        <v>Un curry de pois chiches avec riz, légumes et sauce peut être bien accepté si le nom du plat donne envie.</v>
      </c>
      <c r="I448" s="838"/>
      <c r="J448" s="838"/>
      <c r="K448" s="838"/>
      <c r="L448" s="838"/>
      <c r="M448" s="838"/>
      <c r="N448" s="838"/>
      <c r="O448" s="838"/>
      <c r="P448" s="838"/>
      <c r="Q448" s="838"/>
      <c r="R448" s="838"/>
      <c r="S448" s="838"/>
      <c r="T448" s="838"/>
      <c r="U448" s="838"/>
      <c r="V448" s="838"/>
      <c r="W448" s="839"/>
    </row>
    <row r="449" spans="1:23" ht="30" customHeight="1" thickBot="1" x14ac:dyDescent="0.3">
      <c r="A449" s="271">
        <v>440</v>
      </c>
      <c r="B449" s="1105" t="s">
        <v>4331</v>
      </c>
      <c r="C449" s="1105"/>
      <c r="D449" s="1105"/>
      <c r="E449" s="1105"/>
      <c r="F449" s="1105"/>
      <c r="G449" s="1106"/>
      <c r="H449" s="838" t="str">
        <f t="shared" si="10"/>
        <v>Un gratin de haricots blancs peut être bon avec sauce tomate, mais la chapelure peut contenir du gluten.</v>
      </c>
      <c r="I449" s="838"/>
      <c r="J449" s="838"/>
      <c r="K449" s="838"/>
      <c r="L449" s="838"/>
      <c r="M449" s="838"/>
      <c r="N449" s="838"/>
      <c r="O449" s="838"/>
      <c r="P449" s="838"/>
      <c r="Q449" s="838"/>
      <c r="R449" s="838"/>
      <c r="S449" s="838"/>
      <c r="T449" s="838"/>
      <c r="U449" s="838"/>
      <c r="V449" s="838"/>
      <c r="W449" s="839"/>
    </row>
    <row r="450" spans="1:23" ht="30" customHeight="1" thickBot="1" x14ac:dyDescent="0.3">
      <c r="A450" s="271">
        <v>441</v>
      </c>
      <c r="B450" s="1105" t="s">
        <v>3378</v>
      </c>
      <c r="C450" s="1105"/>
      <c r="D450" s="1105"/>
      <c r="E450" s="1105"/>
      <c r="F450" s="1105"/>
      <c r="G450" s="1106"/>
      <c r="H450" s="838" t="str">
        <f t="shared" si="10"/>
        <v>Un gratin végétal peut mieux passer qu’une légumineuse servie seule.</v>
      </c>
      <c r="I450" s="838"/>
      <c r="J450" s="838"/>
      <c r="K450" s="838"/>
      <c r="L450" s="838"/>
      <c r="M450" s="838"/>
      <c r="N450" s="838"/>
      <c r="O450" s="838"/>
      <c r="P450" s="838"/>
      <c r="Q450" s="838"/>
      <c r="R450" s="838"/>
      <c r="S450" s="838"/>
      <c r="T450" s="838"/>
      <c r="U450" s="838"/>
      <c r="V450" s="838"/>
      <c r="W450" s="839"/>
    </row>
    <row r="451" spans="1:23" ht="30" customHeight="1" thickBot="1" x14ac:dyDescent="0.3">
      <c r="A451" s="271">
        <v>442</v>
      </c>
      <c r="B451" s="1105" t="s">
        <v>3460</v>
      </c>
      <c r="C451" s="1105"/>
      <c r="D451" s="1105"/>
      <c r="E451" s="1105"/>
      <c r="F451" s="1105"/>
      <c r="G451" s="1106"/>
      <c r="H451" s="838" t="str">
        <f t="shared" si="10"/>
        <v>Un menu végétal peut être proposé à tous les convives, pas seulement aux végétariens.</v>
      </c>
      <c r="I451" s="838"/>
      <c r="J451" s="838"/>
      <c r="K451" s="838"/>
      <c r="L451" s="838"/>
      <c r="M451" s="838"/>
      <c r="N451" s="838"/>
      <c r="O451" s="838"/>
      <c r="P451" s="838"/>
      <c r="Q451" s="838"/>
      <c r="R451" s="838"/>
      <c r="S451" s="838"/>
      <c r="T451" s="838"/>
      <c r="U451" s="838"/>
      <c r="V451" s="838"/>
      <c r="W451" s="839"/>
    </row>
    <row r="452" spans="1:23" ht="30" customHeight="1" thickBot="1" x14ac:dyDescent="0.3">
      <c r="A452" s="271">
        <v>443</v>
      </c>
      <c r="B452" s="1105" t="s">
        <v>4329</v>
      </c>
      <c r="C452" s="1105"/>
      <c r="D452" s="1105"/>
      <c r="E452" s="1105"/>
      <c r="F452" s="1105"/>
      <c r="G452" s="1106"/>
      <c r="H452" s="838" t="str">
        <f t="shared" si="10"/>
        <v>Un pâté végétal aux lentilles peut contenir des noix, donc il faut penser aux fruits à coque.</v>
      </c>
      <c r="I452" s="838"/>
      <c r="J452" s="838"/>
      <c r="K452" s="838"/>
      <c r="L452" s="838"/>
      <c r="M452" s="838"/>
      <c r="N452" s="838"/>
      <c r="O452" s="838"/>
      <c r="P452" s="838"/>
      <c r="Q452" s="838"/>
      <c r="R452" s="838"/>
      <c r="S452" s="838"/>
      <c r="T452" s="838"/>
      <c r="U452" s="838"/>
      <c r="V452" s="838"/>
      <c r="W452" s="839"/>
    </row>
    <row r="453" spans="1:23" ht="30" customHeight="1" thickBot="1" x14ac:dyDescent="0.3">
      <c r="A453" s="271">
        <v>444</v>
      </c>
      <c r="B453" s="1105" t="s">
        <v>4333</v>
      </c>
      <c r="C453" s="1105"/>
      <c r="D453" s="1105"/>
      <c r="E453" s="1105"/>
      <c r="F453" s="1105"/>
      <c r="G453" s="1106"/>
      <c r="H453" s="838" t="str">
        <f t="shared" si="10"/>
        <v>Un plat aux haricots rouges avec céréale, légumes et sauce peut faire un repas complet.</v>
      </c>
      <c r="I453" s="838"/>
      <c r="J453" s="838"/>
      <c r="K453" s="838"/>
      <c r="L453" s="838"/>
      <c r="M453" s="838"/>
      <c r="N453" s="838"/>
      <c r="O453" s="838"/>
      <c r="P453" s="838"/>
      <c r="Q453" s="838"/>
      <c r="R453" s="838"/>
      <c r="S453" s="838"/>
      <c r="T453" s="838"/>
      <c r="U453" s="838"/>
      <c r="V453" s="838"/>
      <c r="W453" s="839"/>
    </row>
    <row r="454" spans="1:23" ht="30" customHeight="1" thickBot="1" x14ac:dyDescent="0.3">
      <c r="A454" s="271">
        <v>445</v>
      </c>
      <c r="B454" s="1105" t="s">
        <v>3284</v>
      </c>
      <c r="C454" s="1105"/>
      <c r="D454" s="1105"/>
      <c r="E454" s="1105"/>
      <c r="F454" s="1105"/>
      <c r="G454" s="1106"/>
      <c r="H454" s="838" t="str">
        <f t="shared" si="10"/>
        <v>Un plat avec légumineuse et céréale aide à faire un repas végétal plus complet.</v>
      </c>
      <c r="I454" s="838"/>
      <c r="J454" s="838"/>
      <c r="K454" s="838"/>
      <c r="L454" s="838"/>
      <c r="M454" s="838"/>
      <c r="N454" s="838"/>
      <c r="O454" s="838"/>
      <c r="P454" s="838"/>
      <c r="Q454" s="838"/>
      <c r="R454" s="838"/>
      <c r="S454" s="838"/>
      <c r="T454" s="838"/>
      <c r="U454" s="838"/>
      <c r="V454" s="838"/>
      <c r="W454" s="839"/>
    </row>
    <row r="455" spans="1:23" ht="30" customHeight="1" thickBot="1" x14ac:dyDescent="0.3">
      <c r="A455" s="271">
        <v>446</v>
      </c>
      <c r="B455" s="1105" t="s">
        <v>4251</v>
      </c>
      <c r="C455" s="1105"/>
      <c r="D455" s="1105"/>
      <c r="E455" s="1105"/>
      <c r="F455" s="1105"/>
      <c r="G455" s="1106"/>
      <c r="H455" s="838" t="str">
        <f t="shared" si="10"/>
        <v>Un plat complet doit avoir une protéine végétale, une céréale, des légumes, des fibres et assez de goût.</v>
      </c>
      <c r="I455" s="838"/>
      <c r="J455" s="838"/>
      <c r="K455" s="838"/>
      <c r="L455" s="838"/>
      <c r="M455" s="838"/>
      <c r="N455" s="838"/>
      <c r="O455" s="838"/>
      <c r="P455" s="838"/>
      <c r="Q455" s="838"/>
      <c r="R455" s="838"/>
      <c r="S455" s="838"/>
      <c r="T455" s="838"/>
      <c r="U455" s="838"/>
      <c r="V455" s="838"/>
      <c r="W455" s="839"/>
    </row>
    <row r="456" spans="1:23" ht="30" customHeight="1" thickBot="1" x14ac:dyDescent="0.3">
      <c r="A456" s="271">
        <v>447</v>
      </c>
      <c r="B456" s="1105" t="s">
        <v>3416</v>
      </c>
      <c r="C456" s="1105"/>
      <c r="D456" s="1105"/>
      <c r="E456" s="1105"/>
      <c r="F456" s="1105"/>
      <c r="G456" s="1106"/>
      <c r="H456" s="838" t="str">
        <f t="shared" si="10"/>
        <v>Un plat sans viande n’est pas automatiquement équilibré, il faut regarder la protéine, les légumes et l’accompagnement.</v>
      </c>
      <c r="I456" s="838"/>
      <c r="J456" s="838"/>
      <c r="K456" s="838"/>
      <c r="L456" s="838"/>
      <c r="M456" s="838"/>
      <c r="N456" s="838"/>
      <c r="O456" s="838"/>
      <c r="P456" s="838"/>
      <c r="Q456" s="838"/>
      <c r="R456" s="838"/>
      <c r="S456" s="838"/>
      <c r="T456" s="838"/>
      <c r="U456" s="838"/>
      <c r="V456" s="838"/>
      <c r="W456" s="839"/>
    </row>
    <row r="457" spans="1:23" ht="30" customHeight="1" thickBot="1" x14ac:dyDescent="0.3">
      <c r="A457" s="271">
        <v>448</v>
      </c>
      <c r="B457" s="1105" t="s">
        <v>3308</v>
      </c>
      <c r="C457" s="1105"/>
      <c r="D457" s="1105"/>
      <c r="E457" s="1105"/>
      <c r="F457" s="1105"/>
      <c r="G457" s="1106"/>
      <c r="H457" s="838" t="str">
        <f t="shared" si="10"/>
        <v>Un plat trop farineux doit être retravaillé car la texture compte autant que l’équilibre nutritionnel.</v>
      </c>
      <c r="I457" s="838"/>
      <c r="J457" s="838"/>
      <c r="K457" s="838"/>
      <c r="L457" s="838"/>
      <c r="M457" s="838"/>
      <c r="N457" s="838"/>
      <c r="O457" s="838"/>
      <c r="P457" s="838"/>
      <c r="Q457" s="838"/>
      <c r="R457" s="838"/>
      <c r="S457" s="838"/>
      <c r="T457" s="838"/>
      <c r="U457" s="838"/>
      <c r="V457" s="838"/>
      <c r="W457" s="839"/>
    </row>
    <row r="458" spans="1:23" ht="30" customHeight="1" thickBot="1" x14ac:dyDescent="0.3">
      <c r="A458" s="271">
        <v>449</v>
      </c>
      <c r="B458" s="1105" t="s">
        <v>3334</v>
      </c>
      <c r="C458" s="1105"/>
      <c r="D458" s="1105"/>
      <c r="E458" s="1105"/>
      <c r="F458" s="1105"/>
      <c r="G458" s="1106"/>
      <c r="H458" s="838" t="str">
        <f t="shared" si="10"/>
        <v>Un plat végétal du soir peut être moins bien accepté si les convives sont fatigués ou moins curieux.</v>
      </c>
      <c r="I458" s="838"/>
      <c r="J458" s="838"/>
      <c r="K458" s="838"/>
      <c r="L458" s="838"/>
      <c r="M458" s="838"/>
      <c r="N458" s="838"/>
      <c r="O458" s="838"/>
      <c r="P458" s="838"/>
      <c r="Q458" s="838"/>
      <c r="R458" s="838"/>
      <c r="S458" s="838"/>
      <c r="T458" s="838"/>
      <c r="U458" s="838"/>
      <c r="V458" s="838"/>
      <c r="W458" s="839"/>
    </row>
    <row r="459" spans="1:23" ht="30" customHeight="1" thickBot="1" x14ac:dyDescent="0.3">
      <c r="A459" s="271">
        <v>450</v>
      </c>
      <c r="B459" s="1105" t="s">
        <v>3318</v>
      </c>
      <c r="C459" s="1105"/>
      <c r="D459" s="1105"/>
      <c r="E459" s="1105"/>
      <c r="F459" s="1105"/>
      <c r="G459" s="1106"/>
      <c r="H459" s="838" t="str">
        <f t="shared" si="10"/>
        <v>Un plat végétal ne doit pas être présenté comme une punition ou une obligation.</v>
      </c>
      <c r="I459" s="838"/>
      <c r="J459" s="838"/>
      <c r="K459" s="838"/>
      <c r="L459" s="838"/>
      <c r="M459" s="838"/>
      <c r="N459" s="838"/>
      <c r="O459" s="838"/>
      <c r="P459" s="838"/>
      <c r="Q459" s="838"/>
      <c r="R459" s="838"/>
      <c r="S459" s="838"/>
      <c r="T459" s="838"/>
      <c r="U459" s="838"/>
      <c r="V459" s="838"/>
      <c r="W459" s="839"/>
    </row>
    <row r="460" spans="1:23" ht="30" customHeight="1" thickBot="1" x14ac:dyDescent="0.3">
      <c r="A460" s="271">
        <v>451</v>
      </c>
      <c r="B460" s="1105" t="s">
        <v>3296</v>
      </c>
      <c r="C460" s="1105"/>
      <c r="D460" s="1105"/>
      <c r="E460" s="1105"/>
      <c r="F460" s="1105"/>
      <c r="G460" s="1106"/>
      <c r="H460" s="838" t="str">
        <f t="shared" si="10"/>
        <v>Un plat végétal peut coûter moins cher en matière première mais demander plus de temps de préparation.</v>
      </c>
      <c r="I460" s="838"/>
      <c r="J460" s="838"/>
      <c r="K460" s="838"/>
      <c r="L460" s="838"/>
      <c r="M460" s="838"/>
      <c r="N460" s="838"/>
      <c r="O460" s="838"/>
      <c r="P460" s="838"/>
      <c r="Q460" s="838"/>
      <c r="R460" s="838"/>
      <c r="S460" s="838"/>
      <c r="T460" s="838"/>
      <c r="U460" s="838"/>
      <c r="V460" s="838"/>
      <c r="W460" s="839"/>
    </row>
    <row r="461" spans="1:23" ht="30" customHeight="1" thickBot="1" x14ac:dyDescent="0.3">
      <c r="A461" s="271">
        <v>452</v>
      </c>
      <c r="B461" s="1105" t="s">
        <v>3428</v>
      </c>
      <c r="C461" s="1105"/>
      <c r="D461" s="1105"/>
      <c r="E461" s="1105"/>
      <c r="F461" s="1105"/>
      <c r="G461" s="1106"/>
      <c r="H461" s="838" t="str">
        <f t="shared" si="10"/>
        <v>Un plat végétal peut être économique seulement si les retours assiette restent faibles.</v>
      </c>
      <c r="I461" s="838"/>
      <c r="J461" s="838"/>
      <c r="K461" s="838"/>
      <c r="L461" s="838"/>
      <c r="M461" s="838"/>
      <c r="N461" s="838"/>
      <c r="O461" s="838"/>
      <c r="P461" s="838"/>
      <c r="Q461" s="838"/>
      <c r="R461" s="838"/>
      <c r="S461" s="838"/>
      <c r="T461" s="838"/>
      <c r="U461" s="838"/>
      <c r="V461" s="838"/>
      <c r="W461" s="839"/>
    </row>
    <row r="462" spans="1:23" ht="30" customHeight="1" thickBot="1" x14ac:dyDescent="0.3">
      <c r="A462" s="271">
        <v>453</v>
      </c>
      <c r="B462" s="1105" t="s">
        <v>3324</v>
      </c>
      <c r="C462" s="1105"/>
      <c r="D462" s="1105"/>
      <c r="E462" s="1105"/>
      <c r="F462" s="1105"/>
      <c r="G462" s="1106"/>
      <c r="H462" s="838" t="str">
        <f t="shared" si="10"/>
        <v>Un plat végétal peut être équilibré mais refusé si la couleur est triste ou si la sauce manque.</v>
      </c>
      <c r="I462" s="838"/>
      <c r="J462" s="838"/>
      <c r="K462" s="838"/>
      <c r="L462" s="838"/>
      <c r="M462" s="838"/>
      <c r="N462" s="838"/>
      <c r="O462" s="838"/>
      <c r="P462" s="838"/>
      <c r="Q462" s="838"/>
      <c r="R462" s="838"/>
      <c r="S462" s="838"/>
      <c r="T462" s="838"/>
      <c r="U462" s="838"/>
      <c r="V462" s="838"/>
      <c r="W462" s="839"/>
    </row>
    <row r="463" spans="1:23" ht="30" customHeight="1" thickBot="1" x14ac:dyDescent="0.3">
      <c r="A463" s="271">
        <v>454</v>
      </c>
      <c r="B463" s="1105" t="s">
        <v>3370</v>
      </c>
      <c r="C463" s="1105"/>
      <c r="D463" s="1105"/>
      <c r="E463" s="1105"/>
      <c r="F463" s="1105"/>
      <c r="G463" s="1106"/>
      <c r="H463" s="838" t="str">
        <f t="shared" si="10"/>
        <v>Un plat végétal réussi doit être bon, clair, chaud, bien présenté et servi avec assez de sauce.</v>
      </c>
      <c r="I463" s="838"/>
      <c r="J463" s="838"/>
      <c r="K463" s="838"/>
      <c r="L463" s="838"/>
      <c r="M463" s="838"/>
      <c r="N463" s="838"/>
      <c r="O463" s="838"/>
      <c r="P463" s="838"/>
      <c r="Q463" s="838"/>
      <c r="R463" s="838"/>
      <c r="S463" s="838"/>
      <c r="T463" s="838"/>
      <c r="U463" s="838"/>
      <c r="V463" s="838"/>
      <c r="W463" s="839"/>
    </row>
    <row r="464" spans="1:23" ht="30" customHeight="1" thickBot="1" x14ac:dyDescent="0.3">
      <c r="A464" s="271">
        <v>455</v>
      </c>
      <c r="B464" s="1105" t="s">
        <v>3276</v>
      </c>
      <c r="C464" s="1105"/>
      <c r="D464" s="1105"/>
      <c r="E464" s="1105"/>
      <c r="F464" s="1105"/>
      <c r="G464" s="1106"/>
      <c r="H464" s="838" t="str">
        <f t="shared" si="10"/>
        <v>Un plat végétal sec doit être corrigé avec plus de sauce, une cuisson moins longue et un assaisonnement plus précis.</v>
      </c>
      <c r="I464" s="838"/>
      <c r="J464" s="838"/>
      <c r="K464" s="838"/>
      <c r="L464" s="838"/>
      <c r="M464" s="838"/>
      <c r="N464" s="838"/>
      <c r="O464" s="838"/>
      <c r="P464" s="838"/>
      <c r="Q464" s="838"/>
      <c r="R464" s="838"/>
      <c r="S464" s="838"/>
      <c r="T464" s="838"/>
      <c r="U464" s="838"/>
      <c r="V464" s="838"/>
      <c r="W464" s="839"/>
    </row>
    <row r="465" spans="1:23" ht="30" customHeight="1" thickBot="1" x14ac:dyDescent="0.3">
      <c r="A465" s="271">
        <v>456</v>
      </c>
      <c r="B465" s="1105" t="s">
        <v>3456</v>
      </c>
      <c r="C465" s="1105"/>
      <c r="D465" s="1105"/>
      <c r="E465" s="1105"/>
      <c r="F465" s="1105"/>
      <c r="G465" s="1106"/>
      <c r="H465" s="838" t="str">
        <f t="shared" si="10"/>
        <v>Un plat végétal trop fragile peut se casser pendant le service et devenir moins appétissant.</v>
      </c>
      <c r="I465" s="838"/>
      <c r="J465" s="838"/>
      <c r="K465" s="838"/>
      <c r="L465" s="838"/>
      <c r="M465" s="838"/>
      <c r="N465" s="838"/>
      <c r="O465" s="838"/>
      <c r="P465" s="838"/>
      <c r="Q465" s="838"/>
      <c r="R465" s="838"/>
      <c r="S465" s="838"/>
      <c r="T465" s="838"/>
      <c r="U465" s="838"/>
      <c r="V465" s="838"/>
      <c r="W465" s="839"/>
    </row>
    <row r="466" spans="1:23" ht="30" customHeight="1" thickBot="1" x14ac:dyDescent="0.3">
      <c r="A466" s="271">
        <v>457</v>
      </c>
      <c r="B466" s="1105" t="s">
        <v>3380</v>
      </c>
      <c r="C466" s="1105"/>
      <c r="D466" s="1105"/>
      <c r="E466" s="1105"/>
      <c r="F466" s="1105"/>
      <c r="G466" s="1106"/>
      <c r="H466" s="838" t="str">
        <f t="shared" si="10"/>
        <v>Un potage de lentilles corail peut devenir un repas complet si la portion et la garniture sont adaptées.</v>
      </c>
      <c r="I466" s="838"/>
      <c r="J466" s="838"/>
      <c r="K466" s="838"/>
      <c r="L466" s="838"/>
      <c r="M466" s="838"/>
      <c r="N466" s="838"/>
      <c r="O466" s="838"/>
      <c r="P466" s="838"/>
      <c r="Q466" s="838"/>
      <c r="R466" s="838"/>
      <c r="S466" s="838"/>
      <c r="T466" s="838"/>
      <c r="U466" s="838"/>
      <c r="V466" s="838"/>
      <c r="W466" s="839"/>
    </row>
    <row r="467" spans="1:23" ht="30" customHeight="1" thickBot="1" x14ac:dyDescent="0.3">
      <c r="A467" s="271">
        <v>458</v>
      </c>
      <c r="B467" s="1105" t="s">
        <v>4248</v>
      </c>
      <c r="C467" s="1105"/>
      <c r="D467" s="1105"/>
      <c r="E467" s="1105"/>
      <c r="F467" s="1105"/>
      <c r="G467" s="1106"/>
      <c r="H467" s="838" t="str">
        <f t="shared" si="10"/>
        <v>Un produit local n’est pas forcément meilleur si le prix est trop haut, si la qualité change ou si les élèves ne le mangent pas.</v>
      </c>
      <c r="I467" s="838"/>
      <c r="J467" s="838"/>
      <c r="K467" s="838"/>
      <c r="L467" s="838"/>
      <c r="M467" s="838"/>
      <c r="N467" s="838"/>
      <c r="O467" s="838"/>
      <c r="P467" s="838"/>
      <c r="Q467" s="838"/>
      <c r="R467" s="838"/>
      <c r="S467" s="838"/>
      <c r="T467" s="838"/>
      <c r="U467" s="838"/>
      <c r="V467" s="838"/>
      <c r="W467" s="839"/>
    </row>
    <row r="468" spans="1:23" ht="30" customHeight="1" thickBot="1" x14ac:dyDescent="0.3">
      <c r="A468" s="271">
        <v>459</v>
      </c>
      <c r="B468" s="1105" t="s">
        <v>3231</v>
      </c>
      <c r="C468" s="1105"/>
      <c r="D468" s="1105"/>
      <c r="E468" s="1105"/>
      <c r="F468" s="1105"/>
      <c r="G468" s="1106"/>
      <c r="H468" s="838" t="str">
        <f t="shared" si="10"/>
        <v>Un repas végétal équilibré contient une source de protéine, des légumes, une céréale et assez de sauce.</v>
      </c>
      <c r="I468" s="838"/>
      <c r="J468" s="838"/>
      <c r="K468" s="838"/>
      <c r="L468" s="838"/>
      <c r="M468" s="838"/>
      <c r="N468" s="838"/>
      <c r="O468" s="838"/>
      <c r="P468" s="838"/>
      <c r="Q468" s="838"/>
      <c r="R468" s="838"/>
      <c r="S468" s="838"/>
      <c r="T468" s="838"/>
      <c r="U468" s="838"/>
      <c r="V468" s="838"/>
      <c r="W468" s="839"/>
    </row>
    <row r="469" spans="1:23" ht="30" customHeight="1" thickBot="1" x14ac:dyDescent="0.3">
      <c r="A469" s="271">
        <v>460</v>
      </c>
      <c r="B469" s="1105" t="s">
        <v>4276</v>
      </c>
      <c r="C469" s="1105"/>
      <c r="D469" s="1105"/>
      <c r="E469" s="1105"/>
      <c r="F469" s="1105"/>
      <c r="G469" s="1106"/>
      <c r="H469" s="838" t="str">
        <f t="shared" si="10"/>
        <v>Un steak végétal trop sec, trop cuit et sans sauce sera très peu mangé au self.</v>
      </c>
      <c r="I469" s="838"/>
      <c r="J469" s="838"/>
      <c r="K469" s="838"/>
      <c r="L469" s="838"/>
      <c r="M469" s="838"/>
      <c r="N469" s="838"/>
      <c r="O469" s="838"/>
      <c r="P469" s="838"/>
      <c r="Q469" s="838"/>
      <c r="R469" s="838"/>
      <c r="S469" s="838"/>
      <c r="T469" s="838"/>
      <c r="U469" s="838"/>
      <c r="V469" s="838"/>
      <c r="W469" s="839"/>
    </row>
    <row r="470" spans="1:23" ht="30" customHeight="1" thickBot="1" x14ac:dyDescent="0.3">
      <c r="A470" s="271">
        <v>461</v>
      </c>
      <c r="B470" s="1105" t="s">
        <v>4348</v>
      </c>
      <c r="C470" s="1105"/>
      <c r="D470" s="1105"/>
      <c r="E470" s="1105"/>
      <c r="F470" s="1105"/>
      <c r="G470" s="1106"/>
      <c r="H470" s="838" t="str">
        <f t="shared" si="10"/>
        <v>Un tajine végétal aux pois chiches peut marcher, mais il faut éviter les portions trop grandes et garder assez de sauce.</v>
      </c>
      <c r="I470" s="838"/>
      <c r="J470" s="838"/>
      <c r="K470" s="838"/>
      <c r="L470" s="838"/>
      <c r="M470" s="838"/>
      <c r="N470" s="838"/>
      <c r="O470" s="838"/>
      <c r="P470" s="838"/>
      <c r="Q470" s="838"/>
      <c r="R470" s="838"/>
      <c r="S470" s="838"/>
      <c r="T470" s="838"/>
      <c r="U470" s="838"/>
      <c r="V470" s="838"/>
      <c r="W470" s="839"/>
    </row>
    <row r="471" spans="1:23" ht="30" customHeight="1" thickBot="1" x14ac:dyDescent="0.3">
      <c r="A471" s="271">
        <v>462</v>
      </c>
      <c r="B471" s="1105" t="s">
        <v>3376</v>
      </c>
      <c r="C471" s="1105"/>
      <c r="D471" s="1105"/>
      <c r="E471" s="1105"/>
      <c r="F471" s="1105"/>
      <c r="G471" s="1106"/>
      <c r="H471" s="838" t="str">
        <f t="shared" si="10"/>
        <v>Un topping croustillant peut améliorer un plat végétal mou ou trop uniforme.</v>
      </c>
      <c r="I471" s="838"/>
      <c r="J471" s="838"/>
      <c r="K471" s="838"/>
      <c r="L471" s="838"/>
      <c r="M471" s="838"/>
      <c r="N471" s="838"/>
      <c r="O471" s="838"/>
      <c r="P471" s="838"/>
      <c r="Q471" s="838"/>
      <c r="R471" s="838"/>
      <c r="S471" s="838"/>
      <c r="T471" s="838"/>
      <c r="U471" s="838"/>
      <c r="V471" s="838"/>
      <c r="W471" s="839"/>
    </row>
    <row r="472" spans="1:23" ht="30" customHeight="1" thickBot="1" x14ac:dyDescent="0.3">
      <c r="A472" s="271">
        <v>463</v>
      </c>
      <c r="B472" s="1105" t="s">
        <v>4284</v>
      </c>
      <c r="C472" s="1105"/>
      <c r="D472" s="1105"/>
      <c r="E472" s="1105"/>
      <c r="F472" s="1105"/>
      <c r="G472" s="1106"/>
      <c r="H472" s="838" t="str">
        <f t="shared" si="10"/>
        <v>Un wrap aux haricots rouges peut être bon avec une sauce épicée, mais il faut penser au gluten de la galette.</v>
      </c>
      <c r="I472" s="838"/>
      <c r="J472" s="838"/>
      <c r="K472" s="838"/>
      <c r="L472" s="838"/>
      <c r="M472" s="838"/>
      <c r="N472" s="838"/>
      <c r="O472" s="838"/>
      <c r="P472" s="838"/>
      <c r="Q472" s="838"/>
      <c r="R472" s="838"/>
      <c r="S472" s="838"/>
      <c r="T472" s="838"/>
      <c r="U472" s="838"/>
      <c r="V472" s="838"/>
      <c r="W472" s="839"/>
    </row>
    <row r="473" spans="1:23" ht="30" customHeight="1" thickBot="1" x14ac:dyDescent="0.3">
      <c r="A473" s="271">
        <v>464</v>
      </c>
      <c r="B473" s="1105" t="s">
        <v>3392</v>
      </c>
      <c r="C473" s="1105"/>
      <c r="D473" s="1105"/>
      <c r="E473" s="1105"/>
      <c r="F473" s="1105"/>
      <c r="G473" s="1106"/>
      <c r="H473" s="838" t="str">
        <f t="shared" si="10"/>
        <v>Une alternative doit être prévue quand une recette contient un allergène important.</v>
      </c>
      <c r="I473" s="838"/>
      <c r="J473" s="838"/>
      <c r="K473" s="838"/>
      <c r="L473" s="838"/>
      <c r="M473" s="838"/>
      <c r="N473" s="838"/>
      <c r="O473" s="838"/>
      <c r="P473" s="838"/>
      <c r="Q473" s="838"/>
      <c r="R473" s="838"/>
      <c r="S473" s="838"/>
      <c r="T473" s="838"/>
      <c r="U473" s="838"/>
      <c r="V473" s="838"/>
      <c r="W473" s="839"/>
    </row>
    <row r="474" spans="1:23" ht="30" customHeight="1" thickBot="1" x14ac:dyDescent="0.3">
      <c r="A474" s="271">
        <v>465</v>
      </c>
      <c r="B474" s="1105" t="s">
        <v>3238</v>
      </c>
      <c r="C474" s="1105"/>
      <c r="D474" s="1105"/>
      <c r="E474" s="1105"/>
      <c r="F474" s="1105"/>
      <c r="G474" s="1106"/>
      <c r="H474" s="838" t="str">
        <f t="shared" si="10"/>
        <v>Une annonce positive du plat aux lentilles aide l’acceptabilité et peut améliorer la satisfaction convives.</v>
      </c>
      <c r="I474" s="838"/>
      <c r="J474" s="838"/>
      <c r="K474" s="838"/>
      <c r="L474" s="838"/>
      <c r="M474" s="838"/>
      <c r="N474" s="838"/>
      <c r="O474" s="838"/>
      <c r="P474" s="838"/>
      <c r="Q474" s="838"/>
      <c r="R474" s="838"/>
      <c r="S474" s="838"/>
      <c r="T474" s="838"/>
      <c r="U474" s="838"/>
      <c r="V474" s="838"/>
      <c r="W474" s="839"/>
    </row>
    <row r="475" spans="1:23" ht="30" customHeight="1" thickBot="1" x14ac:dyDescent="0.3">
      <c r="A475" s="271">
        <v>466</v>
      </c>
      <c r="B475" s="1105" t="s">
        <v>3396</v>
      </c>
      <c r="C475" s="1105"/>
      <c r="D475" s="1105"/>
      <c r="E475" s="1105"/>
      <c r="F475" s="1105"/>
      <c r="G475" s="1106"/>
      <c r="H475" s="838" t="str">
        <f t="shared" si="10"/>
        <v>Une bolognaise moitié viande moitié lentilles peut aider à introduire les protéines végétales progressivement.</v>
      </c>
      <c r="I475" s="838"/>
      <c r="J475" s="838"/>
      <c r="K475" s="838"/>
      <c r="L475" s="838"/>
      <c r="M475" s="838"/>
      <c r="N475" s="838"/>
      <c r="O475" s="838"/>
      <c r="P475" s="838"/>
      <c r="Q475" s="838"/>
      <c r="R475" s="838"/>
      <c r="S475" s="838"/>
      <c r="T475" s="838"/>
      <c r="U475" s="838"/>
      <c r="V475" s="838"/>
      <c r="W475" s="839"/>
    </row>
    <row r="476" spans="1:23" ht="30" customHeight="1" thickBot="1" x14ac:dyDescent="0.3">
      <c r="A476" s="271">
        <v>467</v>
      </c>
      <c r="B476" s="1105" t="s">
        <v>4303</v>
      </c>
      <c r="C476" s="1105"/>
      <c r="D476" s="1105"/>
      <c r="E476" s="1105"/>
      <c r="F476" s="1105"/>
      <c r="G476" s="1106"/>
      <c r="H476" s="838" t="str">
        <f t="shared" si="10"/>
        <v>Une bolognaise moitié viande moitié lentilles peut aider les élèves à accepter progressivement les protéines végétales.</v>
      </c>
      <c r="I476" s="838"/>
      <c r="J476" s="838"/>
      <c r="K476" s="838"/>
      <c r="L476" s="838"/>
      <c r="M476" s="838"/>
      <c r="N476" s="838"/>
      <c r="O476" s="838"/>
      <c r="P476" s="838"/>
      <c r="Q476" s="838"/>
      <c r="R476" s="838"/>
      <c r="S476" s="838"/>
      <c r="T476" s="838"/>
      <c r="U476" s="838"/>
      <c r="V476" s="838"/>
      <c r="W476" s="839"/>
    </row>
    <row r="477" spans="1:23" ht="30" customHeight="1" thickBot="1" x14ac:dyDescent="0.3">
      <c r="A477" s="271">
        <v>468</v>
      </c>
      <c r="B477" s="1105" t="s">
        <v>3320</v>
      </c>
      <c r="C477" s="1105"/>
      <c r="D477" s="1105"/>
      <c r="E477" s="1105"/>
      <c r="F477" s="1105"/>
      <c r="G477" s="1106"/>
      <c r="H477" s="838" t="str">
        <f t="shared" si="10"/>
        <v>Une bonne phrase au self peut donner envie de goûter le plat aux lentilles.</v>
      </c>
      <c r="I477" s="838"/>
      <c r="J477" s="838"/>
      <c r="K477" s="838"/>
      <c r="L477" s="838"/>
      <c r="M477" s="838"/>
      <c r="N477" s="838"/>
      <c r="O477" s="838"/>
      <c r="P477" s="838"/>
      <c r="Q477" s="838"/>
      <c r="R477" s="838"/>
      <c r="S477" s="838"/>
      <c r="T477" s="838"/>
      <c r="U477" s="838"/>
      <c r="V477" s="838"/>
      <c r="W477" s="839"/>
    </row>
    <row r="478" spans="1:23" ht="30" customHeight="1" thickBot="1" x14ac:dyDescent="0.3">
      <c r="A478" s="271">
        <v>469</v>
      </c>
      <c r="B478" s="1105" t="s">
        <v>3466</v>
      </c>
      <c r="C478" s="1105"/>
      <c r="D478" s="1105"/>
      <c r="E478" s="1105"/>
      <c r="F478" s="1105"/>
      <c r="G478" s="1106"/>
      <c r="H478" s="838" t="str">
        <f t="shared" si="10"/>
        <v>Une bonne recette végétale doit pouvoir être répétée avec le même résultat.</v>
      </c>
      <c r="I478" s="838"/>
      <c r="J478" s="838"/>
      <c r="K478" s="838"/>
      <c r="L478" s="838"/>
      <c r="M478" s="838"/>
      <c r="N478" s="838"/>
      <c r="O478" s="838"/>
      <c r="P478" s="838"/>
      <c r="Q478" s="838"/>
      <c r="R478" s="838"/>
      <c r="S478" s="838"/>
      <c r="T478" s="838"/>
      <c r="U478" s="838"/>
      <c r="V478" s="838"/>
      <c r="W478" s="839"/>
    </row>
    <row r="479" spans="1:23" ht="30" customHeight="1" thickBot="1" x14ac:dyDescent="0.3">
      <c r="A479" s="271">
        <v>470</v>
      </c>
      <c r="B479" s="1105" t="s">
        <v>3402</v>
      </c>
      <c r="C479" s="1105"/>
      <c r="D479" s="1105"/>
      <c r="E479" s="1105"/>
      <c r="F479" s="1105"/>
      <c r="G479" s="1106"/>
      <c r="H479" s="838" t="str">
        <f t="shared" si="10"/>
        <v>Une cuisson trop courte peut rendre les pois chiches désagréables à manger.</v>
      </c>
      <c r="I479" s="838"/>
      <c r="J479" s="838"/>
      <c r="K479" s="838"/>
      <c r="L479" s="838"/>
      <c r="M479" s="838"/>
      <c r="N479" s="838"/>
      <c r="O479" s="838"/>
      <c r="P479" s="838"/>
      <c r="Q479" s="838"/>
      <c r="R479" s="838"/>
      <c r="S479" s="838"/>
      <c r="T479" s="838"/>
      <c r="U479" s="838"/>
      <c r="V479" s="838"/>
      <c r="W479" s="839"/>
    </row>
    <row r="480" spans="1:23" ht="30" customHeight="1" thickBot="1" x14ac:dyDescent="0.3">
      <c r="A480" s="271">
        <v>471</v>
      </c>
      <c r="B480" s="1105" t="s">
        <v>3400</v>
      </c>
      <c r="C480" s="1105"/>
      <c r="D480" s="1105"/>
      <c r="E480" s="1105"/>
      <c r="F480" s="1105"/>
      <c r="G480" s="1106"/>
      <c r="H480" s="838" t="str">
        <f t="shared" si="10"/>
        <v>Une cuisson trop longue peut rendre les lentilles pâteuses.</v>
      </c>
      <c r="I480" s="838"/>
      <c r="J480" s="838"/>
      <c r="K480" s="838"/>
      <c r="L480" s="838"/>
      <c r="M480" s="838"/>
      <c r="N480" s="838"/>
      <c r="O480" s="838"/>
      <c r="P480" s="838"/>
      <c r="Q480" s="838"/>
      <c r="R480" s="838"/>
      <c r="S480" s="838"/>
      <c r="T480" s="838"/>
      <c r="U480" s="838"/>
      <c r="V480" s="838"/>
      <c r="W480" s="839"/>
    </row>
    <row r="481" spans="1:23" ht="30" customHeight="1" thickBot="1" x14ac:dyDescent="0.3">
      <c r="A481" s="271">
        <v>472</v>
      </c>
      <c r="B481" s="1105" t="s">
        <v>4357</v>
      </c>
      <c r="C481" s="1105"/>
      <c r="D481" s="1105"/>
      <c r="E481" s="1105"/>
      <c r="F481" s="1105"/>
      <c r="G481" s="1106"/>
      <c r="H481" s="838" t="str">
        <f t="shared" si="10"/>
        <v>Une galette de lentilles en burger doit tenir, ne pas être friable et avoir une sauce.</v>
      </c>
      <c r="I481" s="838"/>
      <c r="J481" s="838"/>
      <c r="K481" s="838"/>
      <c r="L481" s="838"/>
      <c r="M481" s="838"/>
      <c r="N481" s="838"/>
      <c r="O481" s="838"/>
      <c r="P481" s="838"/>
      <c r="Q481" s="838"/>
      <c r="R481" s="838"/>
      <c r="S481" s="838"/>
      <c r="T481" s="838"/>
      <c r="U481" s="838"/>
      <c r="V481" s="838"/>
      <c r="W481" s="839"/>
    </row>
    <row r="482" spans="1:23" ht="30" customHeight="1" thickBot="1" x14ac:dyDescent="0.3">
      <c r="A482" s="271">
        <v>473</v>
      </c>
      <c r="B482" s="1105" t="s">
        <v>3272</v>
      </c>
      <c r="C482" s="1105"/>
      <c r="D482" s="1105"/>
      <c r="E482" s="1105"/>
      <c r="F482" s="1105"/>
      <c r="G482" s="1106"/>
      <c r="H482" s="838" t="str">
        <f t="shared" si="10"/>
        <v>Une galette de lentilles qui casse dans l’assiette donne une mauvaise image du plat et augmente le gaspillage.</v>
      </c>
      <c r="I482" s="838"/>
      <c r="J482" s="838"/>
      <c r="K482" s="838"/>
      <c r="L482" s="838"/>
      <c r="M482" s="838"/>
      <c r="N482" s="838"/>
      <c r="O482" s="838"/>
      <c r="P482" s="838"/>
      <c r="Q482" s="838"/>
      <c r="R482" s="838"/>
      <c r="S482" s="838"/>
      <c r="T482" s="838"/>
      <c r="U482" s="838"/>
      <c r="V482" s="838"/>
      <c r="W482" s="839"/>
    </row>
    <row r="483" spans="1:23" ht="30" customHeight="1" thickBot="1" x14ac:dyDescent="0.3">
      <c r="A483" s="271">
        <v>474</v>
      </c>
      <c r="B483" s="1105" t="s">
        <v>3420</v>
      </c>
      <c r="C483" s="1105"/>
      <c r="D483" s="1105"/>
      <c r="E483" s="1105"/>
      <c r="F483" s="1105"/>
      <c r="G483" s="1106"/>
      <c r="H483" s="838" t="str">
        <f t="shared" si="10"/>
        <v>Une petite portion d’essai peut aider les convives à goûter sans risque de jeter beaucoup.</v>
      </c>
      <c r="I483" s="838"/>
      <c r="J483" s="838"/>
      <c r="K483" s="838"/>
      <c r="L483" s="838"/>
      <c r="M483" s="838"/>
      <c r="N483" s="838"/>
      <c r="O483" s="838"/>
      <c r="P483" s="838"/>
      <c r="Q483" s="838"/>
      <c r="R483" s="838"/>
      <c r="S483" s="838"/>
      <c r="T483" s="838"/>
      <c r="U483" s="838"/>
      <c r="V483" s="838"/>
      <c r="W483" s="839"/>
    </row>
    <row r="484" spans="1:23" ht="30" customHeight="1" thickBot="1" x14ac:dyDescent="0.3">
      <c r="A484" s="271">
        <v>475</v>
      </c>
      <c r="B484" s="1105" t="s">
        <v>4169</v>
      </c>
      <c r="C484" s="1105"/>
      <c r="D484" s="1105"/>
      <c r="E484" s="1105"/>
      <c r="F484" s="1105"/>
      <c r="G484" s="1106"/>
      <c r="H484" s="838" t="str">
        <f t="shared" si="10"/>
        <v>Une portion plus petite au début peut limiter le gaspillage et laisser les élèves en reprendre s’ils aiment.</v>
      </c>
      <c r="I484" s="838"/>
      <c r="J484" s="838"/>
      <c r="K484" s="838"/>
      <c r="L484" s="838"/>
      <c r="M484" s="838"/>
      <c r="N484" s="838"/>
      <c r="O484" s="838"/>
      <c r="P484" s="838"/>
      <c r="Q484" s="838"/>
      <c r="R484" s="838"/>
      <c r="S484" s="838"/>
      <c r="T484" s="838"/>
      <c r="U484" s="838"/>
      <c r="V484" s="838"/>
      <c r="W484" s="839"/>
    </row>
    <row r="485" spans="1:23" ht="30" customHeight="1" thickBot="1" x14ac:dyDescent="0.3">
      <c r="A485" s="271">
        <v>476</v>
      </c>
      <c r="B485" s="1105" t="s">
        <v>3418</v>
      </c>
      <c r="C485" s="1105"/>
      <c r="D485" s="1105"/>
      <c r="E485" s="1105"/>
      <c r="F485" s="1105"/>
      <c r="G485" s="1106"/>
      <c r="H485" s="838" t="str">
        <f t="shared" si="10"/>
        <v>Une portion trop grosse peut faire monter le gaspillage même si le plat est bon.</v>
      </c>
      <c r="I485" s="838"/>
      <c r="J485" s="838"/>
      <c r="K485" s="838"/>
      <c r="L485" s="838"/>
      <c r="M485" s="838"/>
      <c r="N485" s="838"/>
      <c r="O485" s="838"/>
      <c r="P485" s="838"/>
      <c r="Q485" s="838"/>
      <c r="R485" s="838"/>
      <c r="S485" s="838"/>
      <c r="T485" s="838"/>
      <c r="U485" s="838"/>
      <c r="V485" s="838"/>
      <c r="W485" s="839"/>
    </row>
    <row r="486" spans="1:23" ht="30" customHeight="1" thickBot="1" x14ac:dyDescent="0.3">
      <c r="A486" s="271">
        <v>477</v>
      </c>
      <c r="B486" s="1105" t="s">
        <v>4335</v>
      </c>
      <c r="C486" s="1105"/>
      <c r="D486" s="1105"/>
      <c r="E486" s="1105"/>
      <c r="F486" s="1105"/>
      <c r="G486" s="1106"/>
      <c r="H486" s="838" t="str">
        <f t="shared" si="10"/>
        <v>Une purée de lentilles corail doit être lisse, avec du goût et une texture agréable.</v>
      </c>
      <c r="I486" s="838"/>
      <c r="J486" s="838"/>
      <c r="K486" s="838"/>
      <c r="L486" s="838"/>
      <c r="M486" s="838"/>
      <c r="N486" s="838"/>
      <c r="O486" s="838"/>
      <c r="P486" s="838"/>
      <c r="Q486" s="838"/>
      <c r="R486" s="838"/>
      <c r="S486" s="838"/>
      <c r="T486" s="838"/>
      <c r="U486" s="838"/>
      <c r="V486" s="838"/>
      <c r="W486" s="839"/>
    </row>
    <row r="487" spans="1:23" ht="30" customHeight="1" thickBot="1" x14ac:dyDescent="0.3">
      <c r="A487" s="271">
        <v>478</v>
      </c>
      <c r="B487" s="1105" t="s">
        <v>3432</v>
      </c>
      <c r="C487" s="1105"/>
      <c r="D487" s="1105"/>
      <c r="E487" s="1105"/>
      <c r="F487" s="1105"/>
      <c r="G487" s="1106"/>
      <c r="H487" s="838" t="str">
        <f t="shared" si="10"/>
        <v>Une recette aux haricots rouges peut fonctionner avec riz, maïs, tomate, épices douces et sauce.</v>
      </c>
      <c r="I487" s="838"/>
      <c r="J487" s="838"/>
      <c r="K487" s="838"/>
      <c r="L487" s="838"/>
      <c r="M487" s="838"/>
      <c r="N487" s="838"/>
      <c r="O487" s="838"/>
      <c r="P487" s="838"/>
      <c r="Q487" s="838"/>
      <c r="R487" s="838"/>
      <c r="S487" s="838"/>
      <c r="T487" s="838"/>
      <c r="U487" s="838"/>
      <c r="V487" s="838"/>
      <c r="W487" s="839"/>
    </row>
    <row r="488" spans="1:23" ht="30" customHeight="1" thickBot="1" x14ac:dyDescent="0.3">
      <c r="A488" s="271">
        <v>479</v>
      </c>
      <c r="B488" s="1105" t="s">
        <v>3434</v>
      </c>
      <c r="C488" s="1105"/>
      <c r="D488" s="1105"/>
      <c r="E488" s="1105"/>
      <c r="F488" s="1105"/>
      <c r="G488" s="1106"/>
      <c r="H488" s="838" t="str">
        <f t="shared" si="10"/>
        <v>Une recette aux lentilles corail peut devenir trop épaisse si elle attend longtemps.</v>
      </c>
      <c r="I488" s="838"/>
      <c r="J488" s="838"/>
      <c r="K488" s="838"/>
      <c r="L488" s="838"/>
      <c r="M488" s="838"/>
      <c r="N488" s="838"/>
      <c r="O488" s="838"/>
      <c r="P488" s="838"/>
      <c r="Q488" s="838"/>
      <c r="R488" s="838"/>
      <c r="S488" s="838"/>
      <c r="T488" s="838"/>
      <c r="U488" s="838"/>
      <c r="V488" s="838"/>
      <c r="W488" s="839"/>
    </row>
    <row r="489" spans="1:23" ht="30" customHeight="1" thickBot="1" x14ac:dyDescent="0.3">
      <c r="A489" s="271">
        <v>480</v>
      </c>
      <c r="B489" s="1105" t="s">
        <v>3338</v>
      </c>
      <c r="C489" s="1105"/>
      <c r="D489" s="1105"/>
      <c r="E489" s="1105"/>
      <c r="F489" s="1105"/>
      <c r="G489" s="1106"/>
      <c r="H489" s="838" t="str">
        <f t="shared" si="10"/>
        <v>Une recette de haricots blancs doit rester moelleuse après le réchauffage.</v>
      </c>
      <c r="I489" s="838"/>
      <c r="J489" s="838"/>
      <c r="K489" s="838"/>
      <c r="L489" s="838"/>
      <c r="M489" s="838"/>
      <c r="N489" s="838"/>
      <c r="O489" s="838"/>
      <c r="P489" s="838"/>
      <c r="Q489" s="838"/>
      <c r="R489" s="838"/>
      <c r="S489" s="838"/>
      <c r="T489" s="838"/>
      <c r="U489" s="838"/>
      <c r="V489" s="838"/>
      <c r="W489" s="839"/>
    </row>
    <row r="490" spans="1:23" ht="30" customHeight="1" thickBot="1" x14ac:dyDescent="0.3">
      <c r="A490" s="271">
        <v>481</v>
      </c>
      <c r="B490" s="1105" t="s">
        <v>3352</v>
      </c>
      <c r="C490" s="1105"/>
      <c r="D490" s="1105"/>
      <c r="E490" s="1105"/>
      <c r="F490" s="1105"/>
      <c r="G490" s="1106"/>
      <c r="H490" s="838" t="str">
        <f t="shared" si="10"/>
        <v>Une recette pas assez salée ou trop fade peut provoquer beaucoup de retours assiette.</v>
      </c>
      <c r="I490" s="838"/>
      <c r="J490" s="838"/>
      <c r="K490" s="838"/>
      <c r="L490" s="838"/>
      <c r="M490" s="838"/>
      <c r="N490" s="838"/>
      <c r="O490" s="838"/>
      <c r="P490" s="838"/>
      <c r="Q490" s="838"/>
      <c r="R490" s="838"/>
      <c r="S490" s="838"/>
      <c r="T490" s="838"/>
      <c r="U490" s="838"/>
      <c r="V490" s="838"/>
      <c r="W490" s="839"/>
    </row>
    <row r="491" spans="1:23" ht="30" customHeight="1" thickBot="1" x14ac:dyDescent="0.3">
      <c r="A491" s="271">
        <v>482</v>
      </c>
      <c r="B491" s="1105" t="s">
        <v>3448</v>
      </c>
      <c r="C491" s="1105"/>
      <c r="D491" s="1105"/>
      <c r="E491" s="1105"/>
      <c r="F491" s="1105"/>
      <c r="G491" s="1106"/>
      <c r="H491" s="838" t="str">
        <f t="shared" si="10"/>
        <v>Une recette refusée une fois peut réussir après correction de la sauce, du nom et de la texture.</v>
      </c>
      <c r="I491" s="838"/>
      <c r="J491" s="838"/>
      <c r="K491" s="838"/>
      <c r="L491" s="838"/>
      <c r="M491" s="838"/>
      <c r="N491" s="838"/>
      <c r="O491" s="838"/>
      <c r="P491" s="838"/>
      <c r="Q491" s="838"/>
      <c r="R491" s="838"/>
      <c r="S491" s="838"/>
      <c r="T491" s="838"/>
      <c r="U491" s="838"/>
      <c r="V491" s="838"/>
      <c r="W491" s="839"/>
    </row>
    <row r="492" spans="1:23" ht="30" customHeight="1" thickBot="1" x14ac:dyDescent="0.3">
      <c r="A492" s="271">
        <v>483</v>
      </c>
      <c r="B492" s="1105" t="s">
        <v>3350</v>
      </c>
      <c r="C492" s="1105"/>
      <c r="D492" s="1105"/>
      <c r="E492" s="1105"/>
      <c r="F492" s="1105"/>
      <c r="G492" s="1106"/>
      <c r="H492" s="838" t="str">
        <f t="shared" si="10"/>
        <v>Une recette trop épicée peut être refusée même si elle est bien équilibrée.</v>
      </c>
      <c r="I492" s="838"/>
      <c r="J492" s="838"/>
      <c r="K492" s="838"/>
      <c r="L492" s="838"/>
      <c r="M492" s="838"/>
      <c r="N492" s="838"/>
      <c r="O492" s="838"/>
      <c r="P492" s="838"/>
      <c r="Q492" s="838"/>
      <c r="R492" s="838"/>
      <c r="S492" s="838"/>
      <c r="T492" s="838"/>
      <c r="U492" s="838"/>
      <c r="V492" s="838"/>
      <c r="W492" s="839"/>
    </row>
    <row r="493" spans="1:23" ht="30" customHeight="1" thickBot="1" x14ac:dyDescent="0.3">
      <c r="A493" s="271">
        <v>484</v>
      </c>
      <c r="B493" s="1105" t="s">
        <v>3408</v>
      </c>
      <c r="C493" s="1105"/>
      <c r="D493" s="1105"/>
      <c r="E493" s="1105"/>
      <c r="F493" s="1105"/>
      <c r="G493" s="1106"/>
      <c r="H493" s="838" t="str">
        <f t="shared" si="10"/>
        <v>Une recette végétale doit être contrôlée en goût juste avant le service.</v>
      </c>
      <c r="I493" s="838"/>
      <c r="J493" s="838"/>
      <c r="K493" s="838"/>
      <c r="L493" s="838"/>
      <c r="M493" s="838"/>
      <c r="N493" s="838"/>
      <c r="O493" s="838"/>
      <c r="P493" s="838"/>
      <c r="Q493" s="838"/>
      <c r="R493" s="838"/>
      <c r="S493" s="838"/>
      <c r="T493" s="838"/>
      <c r="U493" s="838"/>
      <c r="V493" s="838"/>
      <c r="W493" s="839"/>
    </row>
    <row r="494" spans="1:23" ht="30" customHeight="1" thickBot="1" x14ac:dyDescent="0.3">
      <c r="A494" s="271">
        <v>485</v>
      </c>
      <c r="B494" s="1105" t="s">
        <v>3302</v>
      </c>
      <c r="C494" s="1105"/>
      <c r="D494" s="1105"/>
      <c r="E494" s="1105"/>
      <c r="F494" s="1105"/>
      <c r="G494" s="1106"/>
      <c r="H494" s="838" t="str">
        <f t="shared" si="10"/>
        <v>Une recette végétale réussie doit donner envie avant même d’être expliquée.</v>
      </c>
      <c r="I494" s="838"/>
      <c r="J494" s="838"/>
      <c r="K494" s="838"/>
      <c r="L494" s="838"/>
      <c r="M494" s="838"/>
      <c r="N494" s="838"/>
      <c r="O494" s="838"/>
      <c r="P494" s="838"/>
      <c r="Q494" s="838"/>
      <c r="R494" s="838"/>
      <c r="S494" s="838"/>
      <c r="T494" s="838"/>
      <c r="U494" s="838"/>
      <c r="V494" s="838"/>
      <c r="W494" s="839"/>
    </row>
    <row r="495" spans="1:23" ht="30" customHeight="1" thickBot="1" x14ac:dyDescent="0.3">
      <c r="A495" s="271">
        <v>486</v>
      </c>
      <c r="B495" s="1105" t="s">
        <v>3358</v>
      </c>
      <c r="C495" s="1105"/>
      <c r="D495" s="1105"/>
      <c r="E495" s="1105"/>
      <c r="F495" s="1105"/>
      <c r="G495" s="1106"/>
      <c r="H495" s="838" t="str">
        <f t="shared" si="10"/>
        <v>Une salade de lentilles doit avoir assez de vinaigrette car les lentilles absorbent l’assaisonnement.</v>
      </c>
      <c r="I495" s="838"/>
      <c r="J495" s="838"/>
      <c r="K495" s="838"/>
      <c r="L495" s="838"/>
      <c r="M495" s="838"/>
      <c r="N495" s="838"/>
      <c r="O495" s="838"/>
      <c r="P495" s="838"/>
      <c r="Q495" s="838"/>
      <c r="R495" s="838"/>
      <c r="S495" s="838"/>
      <c r="T495" s="838"/>
      <c r="U495" s="838"/>
      <c r="V495" s="838"/>
      <c r="W495" s="839"/>
    </row>
    <row r="496" spans="1:23" ht="30" customHeight="1" thickBot="1" x14ac:dyDescent="0.3">
      <c r="A496" s="271">
        <v>487</v>
      </c>
      <c r="B496" s="1105" t="s">
        <v>4278</v>
      </c>
      <c r="C496" s="1105"/>
      <c r="D496" s="1105"/>
      <c r="E496" s="1105"/>
      <c r="F496" s="1105"/>
      <c r="G496" s="1106"/>
      <c r="H496" s="838" t="str">
        <f t="shared" si="10"/>
        <v>Une salade de pois chiches et quinoa peut devenir fade après stockage, car la sauce est absorbée.</v>
      </c>
      <c r="I496" s="838"/>
      <c r="J496" s="838"/>
      <c r="K496" s="838"/>
      <c r="L496" s="838"/>
      <c r="M496" s="838"/>
      <c r="N496" s="838"/>
      <c r="O496" s="838"/>
      <c r="P496" s="838"/>
      <c r="Q496" s="838"/>
      <c r="R496" s="838"/>
      <c r="S496" s="838"/>
      <c r="T496" s="838"/>
      <c r="U496" s="838"/>
      <c r="V496" s="838"/>
      <c r="W496" s="839"/>
    </row>
    <row r="497" spans="1:23" ht="30" customHeight="1" thickBot="1" x14ac:dyDescent="0.3">
      <c r="A497" s="271">
        <v>488</v>
      </c>
      <c r="B497" s="1105" t="s">
        <v>4299</v>
      </c>
      <c r="C497" s="1105"/>
      <c r="D497" s="1105"/>
      <c r="E497" s="1105"/>
      <c r="F497" s="1105"/>
      <c r="G497" s="1106"/>
      <c r="H497" s="838" t="str">
        <f t="shared" si="10"/>
        <v>Une salade tiède de lentilles avec légumes peut être bonne, mais il faut vérifier les allergènes selon la sauce et les ingrédients.</v>
      </c>
      <c r="I497" s="838"/>
      <c r="J497" s="838"/>
      <c r="K497" s="838"/>
      <c r="L497" s="838"/>
      <c r="M497" s="838"/>
      <c r="N497" s="838"/>
      <c r="O497" s="838"/>
      <c r="P497" s="838"/>
      <c r="Q497" s="838"/>
      <c r="R497" s="838"/>
      <c r="S497" s="838"/>
      <c r="T497" s="838"/>
      <c r="U497" s="838"/>
      <c r="V497" s="838"/>
      <c r="W497" s="839"/>
    </row>
    <row r="498" spans="1:23" ht="30" customHeight="1" thickBot="1" x14ac:dyDescent="0.3">
      <c r="A498" s="271">
        <v>489</v>
      </c>
      <c r="B498" s="1105" t="s">
        <v>3458</v>
      </c>
      <c r="C498" s="1105"/>
      <c r="D498" s="1105"/>
      <c r="E498" s="1105"/>
      <c r="F498" s="1105"/>
      <c r="G498" s="1106"/>
      <c r="H498" s="838" t="str">
        <f t="shared" si="10"/>
        <v>Une sauce bien liée aide à garder le moelleux pendant le maintien au chaud.</v>
      </c>
      <c r="I498" s="838"/>
      <c r="J498" s="838"/>
      <c r="K498" s="838"/>
      <c r="L498" s="838"/>
      <c r="M498" s="838"/>
      <c r="N498" s="838"/>
      <c r="O498" s="838"/>
      <c r="P498" s="838"/>
      <c r="Q498" s="838"/>
      <c r="R498" s="838"/>
      <c r="S498" s="838"/>
      <c r="T498" s="838"/>
      <c r="U498" s="838"/>
      <c r="V498" s="838"/>
      <c r="W498" s="839"/>
    </row>
    <row r="499" spans="1:23" ht="30" customHeight="1" thickBot="1" x14ac:dyDescent="0.3">
      <c r="A499" s="271">
        <v>490</v>
      </c>
      <c r="B499" s="1105" t="s">
        <v>3426</v>
      </c>
      <c r="C499" s="1105"/>
      <c r="D499" s="1105"/>
      <c r="E499" s="1105"/>
      <c r="F499" s="1105"/>
      <c r="G499" s="1106"/>
      <c r="H499" s="838" t="str">
        <f t="shared" si="10"/>
        <v>Une sauce courte signifie qu’il n’y a pas assez de sauce pour napper le plat.</v>
      </c>
      <c r="I499" s="838"/>
      <c r="J499" s="838"/>
      <c r="K499" s="838"/>
      <c r="L499" s="838"/>
      <c r="M499" s="838"/>
      <c r="N499" s="838"/>
      <c r="O499" s="838"/>
      <c r="P499" s="838"/>
      <c r="Q499" s="838"/>
      <c r="R499" s="838"/>
      <c r="S499" s="838"/>
      <c r="T499" s="838"/>
      <c r="U499" s="838"/>
      <c r="V499" s="838"/>
      <c r="W499" s="839"/>
    </row>
    <row r="500" spans="1:23" ht="30" customHeight="1" thickBot="1" x14ac:dyDescent="0.3">
      <c r="A500" s="271">
        <v>491</v>
      </c>
      <c r="B500" s="1105" t="s">
        <v>3384</v>
      </c>
      <c r="C500" s="1105"/>
      <c r="D500" s="1105"/>
      <c r="E500" s="1105"/>
      <c r="F500" s="1105"/>
      <c r="G500" s="1106"/>
      <c r="H500" s="838" t="str">
        <f t="shared" si="10"/>
        <v>Une sauce tomate bien cuisinée aide souvent les haricots rouges ou les lentilles.</v>
      </c>
      <c r="I500" s="838"/>
      <c r="J500" s="838"/>
      <c r="K500" s="838"/>
      <c r="L500" s="838"/>
      <c r="M500" s="838"/>
      <c r="N500" s="838"/>
      <c r="O500" s="838"/>
      <c r="P500" s="838"/>
      <c r="Q500" s="838"/>
      <c r="R500" s="838"/>
      <c r="S500" s="838"/>
      <c r="T500" s="838"/>
      <c r="U500" s="838"/>
      <c r="V500" s="838"/>
      <c r="W500" s="839"/>
    </row>
    <row r="501" spans="1:23" ht="30" customHeight="1" thickBot="1" x14ac:dyDescent="0.3">
      <c r="A501" s="271">
        <v>492</v>
      </c>
      <c r="B501" s="1105" t="s">
        <v>4338</v>
      </c>
      <c r="C501" s="1105"/>
      <c r="D501" s="1105"/>
      <c r="E501" s="1105"/>
      <c r="F501" s="1105"/>
      <c r="G501" s="1106"/>
      <c r="H501" s="838" t="str">
        <f t="shared" si="10"/>
        <v>Une soupe de lentilles corail peut être complète, mais il faut vérifier le sel et ne pas trop la diluer.</v>
      </c>
      <c r="I501" s="838"/>
      <c r="J501" s="838"/>
      <c r="K501" s="838"/>
      <c r="L501" s="838"/>
      <c r="M501" s="838"/>
      <c r="N501" s="838"/>
      <c r="O501" s="838"/>
      <c r="P501" s="838"/>
      <c r="Q501" s="838"/>
      <c r="R501" s="838"/>
      <c r="S501" s="838"/>
      <c r="T501" s="838"/>
      <c r="U501" s="838"/>
      <c r="V501" s="838"/>
      <c r="W501" s="839"/>
    </row>
    <row r="502" spans="1:23" ht="30" customHeight="1" thickBot="1" x14ac:dyDescent="0.3">
      <c r="A502" s="271">
        <v>493</v>
      </c>
      <c r="B502" s="1105" t="s">
        <v>4332</v>
      </c>
      <c r="C502" s="1105"/>
      <c r="D502" s="1105"/>
      <c r="E502" s="1105"/>
      <c r="F502" s="1105"/>
      <c r="G502" s="1106"/>
      <c r="H502" s="838" t="str">
        <f t="shared" si="10"/>
        <v>Une soupe épaisse aux haricots rouges peut coûter peu cher, mais il faut soigner la présentation.</v>
      </c>
      <c r="I502" s="838"/>
      <c r="J502" s="838"/>
      <c r="K502" s="838"/>
      <c r="L502" s="838"/>
      <c r="M502" s="838"/>
      <c r="N502" s="838"/>
      <c r="O502" s="838"/>
      <c r="P502" s="838"/>
      <c r="Q502" s="838"/>
      <c r="R502" s="838"/>
      <c r="S502" s="838"/>
      <c r="T502" s="838"/>
      <c r="U502" s="838"/>
      <c r="V502" s="838"/>
      <c r="W502" s="839"/>
    </row>
    <row r="503" spans="1:23" ht="30" customHeight="1" thickBot="1" x14ac:dyDescent="0.3">
      <c r="A503" s="271">
        <v>494</v>
      </c>
      <c r="B503" s="1105" t="s">
        <v>4103</v>
      </c>
      <c r="C503" s="1105"/>
      <c r="D503" s="1105"/>
      <c r="E503" s="1105"/>
      <c r="F503" s="1105"/>
      <c r="G503" s="1106"/>
      <c r="H503" s="838" t="str">
        <f t="shared" si="10"/>
        <v>Y avait trop de reste dans les assiettes.</v>
      </c>
      <c r="I503" s="838"/>
      <c r="J503" s="838"/>
      <c r="K503" s="838"/>
      <c r="L503" s="838"/>
      <c r="M503" s="838"/>
      <c r="N503" s="838"/>
      <c r="O503" s="838"/>
      <c r="P503" s="838"/>
      <c r="Q503" s="838"/>
      <c r="R503" s="838"/>
      <c r="S503" s="838"/>
      <c r="T503" s="838"/>
      <c r="U503" s="838"/>
      <c r="V503" s="838"/>
      <c r="W503" s="839"/>
    </row>
  </sheetData>
  <sortState xmlns:xlrd2="http://schemas.microsoft.com/office/spreadsheetml/2017/richdata2" ref="B9:B182">
    <sortCondition ref="B9:B182"/>
  </sortState>
  <mergeCells count="991">
    <mergeCell ref="B197:G197"/>
    <mergeCell ref="B198:G198"/>
    <mergeCell ref="B199:G199"/>
    <mergeCell ref="B200:G200"/>
    <mergeCell ref="B201:G201"/>
    <mergeCell ref="B202:G202"/>
    <mergeCell ref="B203:G203"/>
    <mergeCell ref="B204:G204"/>
    <mergeCell ref="B205:G205"/>
    <mergeCell ref="B182:G182"/>
    <mergeCell ref="B184:G184"/>
    <mergeCell ref="B185:G185"/>
    <mergeCell ref="B186:G186"/>
    <mergeCell ref="B187:G187"/>
    <mergeCell ref="B188:G188"/>
    <mergeCell ref="B189:G189"/>
    <mergeCell ref="B190:G190"/>
    <mergeCell ref="B191:G191"/>
    <mergeCell ref="B173:G173"/>
    <mergeCell ref="B174:G174"/>
    <mergeCell ref="B175:G175"/>
    <mergeCell ref="B176:G176"/>
    <mergeCell ref="B177:G177"/>
    <mergeCell ref="B178:G178"/>
    <mergeCell ref="B179:G179"/>
    <mergeCell ref="B180:G180"/>
    <mergeCell ref="B181:G181"/>
    <mergeCell ref="B9:G9"/>
    <mergeCell ref="B10:G10"/>
    <mergeCell ref="B11:G11"/>
    <mergeCell ref="B12:G12"/>
    <mergeCell ref="B13:G13"/>
    <mergeCell ref="B14:G14"/>
    <mergeCell ref="B15:G15"/>
    <mergeCell ref="B16:G16"/>
    <mergeCell ref="B7:G7"/>
    <mergeCell ref="H7:W7"/>
    <mergeCell ref="H10:W10"/>
    <mergeCell ref="H11:W11"/>
    <mergeCell ref="H12:W12"/>
    <mergeCell ref="H16:W16"/>
    <mergeCell ref="H17:W17"/>
    <mergeCell ref="H9:W9"/>
    <mergeCell ref="H18:W18"/>
    <mergeCell ref="H13:W13"/>
    <mergeCell ref="H14:W14"/>
    <mergeCell ref="H15:W15"/>
    <mergeCell ref="B17:G17"/>
    <mergeCell ref="B18:G18"/>
    <mergeCell ref="H22:W22"/>
    <mergeCell ref="H23:W23"/>
    <mergeCell ref="H24:W24"/>
    <mergeCell ref="H19:W19"/>
    <mergeCell ref="H20:W20"/>
    <mergeCell ref="H21:W21"/>
    <mergeCell ref="B19:G19"/>
    <mergeCell ref="B20:G20"/>
    <mergeCell ref="B21:G21"/>
    <mergeCell ref="B22:G22"/>
    <mergeCell ref="B23:G23"/>
    <mergeCell ref="B24:G24"/>
    <mergeCell ref="B25:G25"/>
    <mergeCell ref="H28:W28"/>
    <mergeCell ref="H29:W29"/>
    <mergeCell ref="H30:W30"/>
    <mergeCell ref="H25:W25"/>
    <mergeCell ref="H26:W26"/>
    <mergeCell ref="H27:W27"/>
    <mergeCell ref="B26:G26"/>
    <mergeCell ref="B27:G27"/>
    <mergeCell ref="B28:G28"/>
    <mergeCell ref="B29:G29"/>
    <mergeCell ref="B30:G30"/>
    <mergeCell ref="B31:G31"/>
    <mergeCell ref="H33:W33"/>
    <mergeCell ref="H34:W34"/>
    <mergeCell ref="H31:W31"/>
    <mergeCell ref="H32:W32"/>
    <mergeCell ref="H37:W37"/>
    <mergeCell ref="H38:W38"/>
    <mergeCell ref="H39:W39"/>
    <mergeCell ref="H35:W35"/>
    <mergeCell ref="B32:G32"/>
    <mergeCell ref="B33:G33"/>
    <mergeCell ref="B34:G34"/>
    <mergeCell ref="B35:G35"/>
    <mergeCell ref="B36:G36"/>
    <mergeCell ref="B37:G37"/>
    <mergeCell ref="B38:G38"/>
    <mergeCell ref="B39:G39"/>
    <mergeCell ref="B40:G40"/>
    <mergeCell ref="H36:W36"/>
    <mergeCell ref="H43:W43"/>
    <mergeCell ref="H44:W44"/>
    <mergeCell ref="H45:W45"/>
    <mergeCell ref="H40:W40"/>
    <mergeCell ref="B41:G41"/>
    <mergeCell ref="B42:G42"/>
    <mergeCell ref="B43:G43"/>
    <mergeCell ref="B44:G44"/>
    <mergeCell ref="B45:G45"/>
    <mergeCell ref="H46:W46"/>
    <mergeCell ref="H47:W47"/>
    <mergeCell ref="H48:W48"/>
    <mergeCell ref="B46:G46"/>
    <mergeCell ref="B47:G47"/>
    <mergeCell ref="B48:G48"/>
    <mergeCell ref="B49:G49"/>
    <mergeCell ref="B50:G50"/>
    <mergeCell ref="B51:G51"/>
    <mergeCell ref="B52:G52"/>
    <mergeCell ref="B53:G53"/>
    <mergeCell ref="H49:W49"/>
    <mergeCell ref="H50:W50"/>
    <mergeCell ref="H41:W41"/>
    <mergeCell ref="H42:W42"/>
    <mergeCell ref="B54:G54"/>
    <mergeCell ref="B55:G55"/>
    <mergeCell ref="B56:G56"/>
    <mergeCell ref="B57:G57"/>
    <mergeCell ref="B58:G58"/>
    <mergeCell ref="B59:G59"/>
    <mergeCell ref="B60:G60"/>
    <mergeCell ref="B61:G61"/>
    <mergeCell ref="B62:G62"/>
    <mergeCell ref="B63:G63"/>
    <mergeCell ref="B64:G64"/>
    <mergeCell ref="H51:W51"/>
    <mergeCell ref="H58:W58"/>
    <mergeCell ref="H59:W59"/>
    <mergeCell ref="H60:W60"/>
    <mergeCell ref="H55:W55"/>
    <mergeCell ref="H52:W52"/>
    <mergeCell ref="H53:W53"/>
    <mergeCell ref="H54:W54"/>
    <mergeCell ref="H56:W56"/>
    <mergeCell ref="H57:W57"/>
    <mergeCell ref="H64:W64"/>
    <mergeCell ref="H65:W65"/>
    <mergeCell ref="H66:W66"/>
    <mergeCell ref="H61:W61"/>
    <mergeCell ref="B65:G65"/>
    <mergeCell ref="B66:G66"/>
    <mergeCell ref="B67:G67"/>
    <mergeCell ref="B68:G68"/>
    <mergeCell ref="B69:G69"/>
    <mergeCell ref="B70:G70"/>
    <mergeCell ref="B71:G71"/>
    <mergeCell ref="H62:W62"/>
    <mergeCell ref="H63:W63"/>
    <mergeCell ref="H70:W70"/>
    <mergeCell ref="H71:W71"/>
    <mergeCell ref="H72:W72"/>
    <mergeCell ref="H67:W67"/>
    <mergeCell ref="B72:G72"/>
    <mergeCell ref="B73:G73"/>
    <mergeCell ref="B74:G74"/>
    <mergeCell ref="B75:G75"/>
    <mergeCell ref="B76:G76"/>
    <mergeCell ref="B77:G77"/>
    <mergeCell ref="H68:W68"/>
    <mergeCell ref="H69:W69"/>
    <mergeCell ref="H76:W76"/>
    <mergeCell ref="H77:W77"/>
    <mergeCell ref="H78:W78"/>
    <mergeCell ref="H73:W73"/>
    <mergeCell ref="B78:G78"/>
    <mergeCell ref="B79:G79"/>
    <mergeCell ref="B80:G80"/>
    <mergeCell ref="B81:G81"/>
    <mergeCell ref="B82:G82"/>
    <mergeCell ref="B83:G83"/>
    <mergeCell ref="H74:W74"/>
    <mergeCell ref="H75:W75"/>
    <mergeCell ref="H82:W82"/>
    <mergeCell ref="H83:W83"/>
    <mergeCell ref="H84:W84"/>
    <mergeCell ref="H79:W79"/>
    <mergeCell ref="B84:G84"/>
    <mergeCell ref="B85:G85"/>
    <mergeCell ref="B86:G86"/>
    <mergeCell ref="B87:G87"/>
    <mergeCell ref="B88:G88"/>
    <mergeCell ref="B89:G89"/>
    <mergeCell ref="H80:W80"/>
    <mergeCell ref="H81:W81"/>
    <mergeCell ref="H88:W88"/>
    <mergeCell ref="H89:W89"/>
    <mergeCell ref="H90:W90"/>
    <mergeCell ref="H85:W85"/>
    <mergeCell ref="B90:G90"/>
    <mergeCell ref="B91:G91"/>
    <mergeCell ref="B92:G92"/>
    <mergeCell ref="B93:G93"/>
    <mergeCell ref="B94:G94"/>
    <mergeCell ref="B95:G95"/>
    <mergeCell ref="H86:W86"/>
    <mergeCell ref="H87:W87"/>
    <mergeCell ref="H94:W94"/>
    <mergeCell ref="H95:W95"/>
    <mergeCell ref="H96:W96"/>
    <mergeCell ref="H91:W91"/>
    <mergeCell ref="B96:G96"/>
    <mergeCell ref="B97:G97"/>
    <mergeCell ref="B98:G98"/>
    <mergeCell ref="B99:G99"/>
    <mergeCell ref="B100:G100"/>
    <mergeCell ref="B101:G101"/>
    <mergeCell ref="H92:W92"/>
    <mergeCell ref="H93:W93"/>
    <mergeCell ref="H100:W100"/>
    <mergeCell ref="H101:W101"/>
    <mergeCell ref="H102:W102"/>
    <mergeCell ref="H97:W97"/>
    <mergeCell ref="B102:G102"/>
    <mergeCell ref="B103:G103"/>
    <mergeCell ref="B104:G104"/>
    <mergeCell ref="B105:G105"/>
    <mergeCell ref="B106:G106"/>
    <mergeCell ref="B107:G107"/>
    <mergeCell ref="H98:W98"/>
    <mergeCell ref="H99:W99"/>
    <mergeCell ref="H106:W106"/>
    <mergeCell ref="H107:W107"/>
    <mergeCell ref="H108:W108"/>
    <mergeCell ref="H103:W103"/>
    <mergeCell ref="B108:G108"/>
    <mergeCell ref="B109:G109"/>
    <mergeCell ref="B110:G110"/>
    <mergeCell ref="B111:G111"/>
    <mergeCell ref="B112:G112"/>
    <mergeCell ref="B113:G113"/>
    <mergeCell ref="H104:W104"/>
    <mergeCell ref="H105:W105"/>
    <mergeCell ref="H112:W112"/>
    <mergeCell ref="H113:W113"/>
    <mergeCell ref="H114:W114"/>
    <mergeCell ref="H109:W109"/>
    <mergeCell ref="B114:G114"/>
    <mergeCell ref="B115:G115"/>
    <mergeCell ref="B116:G116"/>
    <mergeCell ref="B117:G117"/>
    <mergeCell ref="B118:G118"/>
    <mergeCell ref="B119:G119"/>
    <mergeCell ref="H110:W110"/>
    <mergeCell ref="H111:W111"/>
    <mergeCell ref="H118:W118"/>
    <mergeCell ref="H119:W119"/>
    <mergeCell ref="H120:W120"/>
    <mergeCell ref="H115:W115"/>
    <mergeCell ref="B120:G120"/>
    <mergeCell ref="B121:G121"/>
    <mergeCell ref="B122:G122"/>
    <mergeCell ref="B123:G123"/>
    <mergeCell ref="B124:G124"/>
    <mergeCell ref="B125:G125"/>
    <mergeCell ref="H116:W116"/>
    <mergeCell ref="H117:W117"/>
    <mergeCell ref="H124:W124"/>
    <mergeCell ref="H125:W125"/>
    <mergeCell ref="H126:W126"/>
    <mergeCell ref="H121:W121"/>
    <mergeCell ref="B126:G126"/>
    <mergeCell ref="B127:G127"/>
    <mergeCell ref="B128:G128"/>
    <mergeCell ref="B129:G129"/>
    <mergeCell ref="B130:G130"/>
    <mergeCell ref="B131:G131"/>
    <mergeCell ref="H122:W122"/>
    <mergeCell ref="H123:W123"/>
    <mergeCell ref="H130:W130"/>
    <mergeCell ref="H131:W131"/>
    <mergeCell ref="H132:W132"/>
    <mergeCell ref="H127:W127"/>
    <mergeCell ref="B132:G132"/>
    <mergeCell ref="B133:G133"/>
    <mergeCell ref="B134:G134"/>
    <mergeCell ref="B135:G135"/>
    <mergeCell ref="B136:G136"/>
    <mergeCell ref="B137:G137"/>
    <mergeCell ref="H128:W128"/>
    <mergeCell ref="H129:W129"/>
    <mergeCell ref="H136:W136"/>
    <mergeCell ref="H137:W137"/>
    <mergeCell ref="H138:W138"/>
    <mergeCell ref="H133:W133"/>
    <mergeCell ref="B138:G138"/>
    <mergeCell ref="B139:G139"/>
    <mergeCell ref="B140:G140"/>
    <mergeCell ref="B141:G141"/>
    <mergeCell ref="B142:G142"/>
    <mergeCell ref="B143:G143"/>
    <mergeCell ref="H134:W134"/>
    <mergeCell ref="H135:W135"/>
    <mergeCell ref="H142:W142"/>
    <mergeCell ref="H143:W143"/>
    <mergeCell ref="H144:W144"/>
    <mergeCell ref="H139:W139"/>
    <mergeCell ref="B144:G144"/>
    <mergeCell ref="B145:G145"/>
    <mergeCell ref="B146:G146"/>
    <mergeCell ref="B147:G147"/>
    <mergeCell ref="B148:G148"/>
    <mergeCell ref="B149:G149"/>
    <mergeCell ref="H140:W140"/>
    <mergeCell ref="H141:W141"/>
    <mergeCell ref="H148:W148"/>
    <mergeCell ref="H149:W149"/>
    <mergeCell ref="H150:W150"/>
    <mergeCell ref="H145:W145"/>
    <mergeCell ref="B150:G150"/>
    <mergeCell ref="B151:G151"/>
    <mergeCell ref="B152:G152"/>
    <mergeCell ref="B153:G153"/>
    <mergeCell ref="B154:G154"/>
    <mergeCell ref="B155:G155"/>
    <mergeCell ref="H146:W146"/>
    <mergeCell ref="H147:W147"/>
    <mergeCell ref="H151:W151"/>
    <mergeCell ref="H152:W152"/>
    <mergeCell ref="H153:W153"/>
    <mergeCell ref="H161:W161"/>
    <mergeCell ref="H154:W154"/>
    <mergeCell ref="B156:G156"/>
    <mergeCell ref="B157:G157"/>
    <mergeCell ref="B158:G158"/>
    <mergeCell ref="B159:G159"/>
    <mergeCell ref="B160:G160"/>
    <mergeCell ref="B161:G161"/>
    <mergeCell ref="H155:W155"/>
    <mergeCell ref="H156:W156"/>
    <mergeCell ref="H157:W157"/>
    <mergeCell ref="H158:W158"/>
    <mergeCell ref="H159:W159"/>
    <mergeCell ref="H160:W160"/>
    <mergeCell ref="B162:G162"/>
    <mergeCell ref="B163:G163"/>
    <mergeCell ref="B164:G164"/>
    <mergeCell ref="B165:G165"/>
    <mergeCell ref="B166:G166"/>
    <mergeCell ref="B167:G167"/>
    <mergeCell ref="B168:G168"/>
    <mergeCell ref="B169:G169"/>
    <mergeCell ref="B170:G170"/>
    <mergeCell ref="H162:W162"/>
    <mergeCell ref="H163:W163"/>
    <mergeCell ref="H164:W164"/>
    <mergeCell ref="B171:G171"/>
    <mergeCell ref="B172:G172"/>
    <mergeCell ref="C6:E6"/>
    <mergeCell ref="H184:W184"/>
    <mergeCell ref="H185:W185"/>
    <mergeCell ref="H186:W186"/>
    <mergeCell ref="H187:W187"/>
    <mergeCell ref="H188:W188"/>
    <mergeCell ref="H177:W177"/>
    <mergeCell ref="H178:W178"/>
    <mergeCell ref="H179:W179"/>
    <mergeCell ref="H180:W180"/>
    <mergeCell ref="H181:W181"/>
    <mergeCell ref="H182:W182"/>
    <mergeCell ref="H171:W171"/>
    <mergeCell ref="H172:W172"/>
    <mergeCell ref="H173:W173"/>
    <mergeCell ref="H174:W174"/>
    <mergeCell ref="H175:W175"/>
    <mergeCell ref="H176:W176"/>
    <mergeCell ref="H165:W165"/>
    <mergeCell ref="H166:W166"/>
    <mergeCell ref="H167:W167"/>
    <mergeCell ref="H168:W168"/>
    <mergeCell ref="H169:W169"/>
    <mergeCell ref="H170:W170"/>
    <mergeCell ref="H191:W191"/>
    <mergeCell ref="H192:W192"/>
    <mergeCell ref="H193:W193"/>
    <mergeCell ref="H194:W194"/>
    <mergeCell ref="B192:G192"/>
    <mergeCell ref="B193:G193"/>
    <mergeCell ref="B194:G194"/>
    <mergeCell ref="B195:G195"/>
    <mergeCell ref="B196:G196"/>
    <mergeCell ref="H202:W202"/>
    <mergeCell ref="H203:W203"/>
    <mergeCell ref="H204:W204"/>
    <mergeCell ref="H199:W199"/>
    <mergeCell ref="H200:W200"/>
    <mergeCell ref="H201:W201"/>
    <mergeCell ref="H195:W195"/>
    <mergeCell ref="H196:W196"/>
    <mergeCell ref="H197:W197"/>
    <mergeCell ref="H198:W198"/>
    <mergeCell ref="H189:W189"/>
    <mergeCell ref="H190:W190"/>
    <mergeCell ref="H208:W208"/>
    <mergeCell ref="H209:W209"/>
    <mergeCell ref="H210:W210"/>
    <mergeCell ref="H205:W205"/>
    <mergeCell ref="H206:W206"/>
    <mergeCell ref="H207:W207"/>
    <mergeCell ref="B206:G206"/>
    <mergeCell ref="B207:G207"/>
    <mergeCell ref="B208:G208"/>
    <mergeCell ref="B209:G209"/>
    <mergeCell ref="B210:G210"/>
    <mergeCell ref="H214:W214"/>
    <mergeCell ref="H215:W215"/>
    <mergeCell ref="H216:W216"/>
    <mergeCell ref="H211:W211"/>
    <mergeCell ref="H212:W212"/>
    <mergeCell ref="H213:W213"/>
    <mergeCell ref="B211:G211"/>
    <mergeCell ref="B212:G212"/>
    <mergeCell ref="B213:G213"/>
    <mergeCell ref="B214:G214"/>
    <mergeCell ref="B215:G215"/>
    <mergeCell ref="B216:G216"/>
    <mergeCell ref="H220:W220"/>
    <mergeCell ref="H221:W221"/>
    <mergeCell ref="H222:W222"/>
    <mergeCell ref="H217:W217"/>
    <mergeCell ref="H218:W218"/>
    <mergeCell ref="H219:W219"/>
    <mergeCell ref="B217:G217"/>
    <mergeCell ref="B218:G218"/>
    <mergeCell ref="B219:G219"/>
    <mergeCell ref="B220:G220"/>
    <mergeCell ref="B221:G221"/>
    <mergeCell ref="B222:G222"/>
    <mergeCell ref="H226:W226"/>
    <mergeCell ref="H227:W227"/>
    <mergeCell ref="H228:W228"/>
    <mergeCell ref="H223:W223"/>
    <mergeCell ref="H224:W224"/>
    <mergeCell ref="H225:W225"/>
    <mergeCell ref="B223:G223"/>
    <mergeCell ref="B224:G224"/>
    <mergeCell ref="B225:G225"/>
    <mergeCell ref="B226:G226"/>
    <mergeCell ref="B227:G227"/>
    <mergeCell ref="B228:G228"/>
    <mergeCell ref="H232:W232"/>
    <mergeCell ref="H233:W233"/>
    <mergeCell ref="H234:W234"/>
    <mergeCell ref="H229:W229"/>
    <mergeCell ref="H230:W230"/>
    <mergeCell ref="H231:W231"/>
    <mergeCell ref="B229:G229"/>
    <mergeCell ref="B230:G230"/>
    <mergeCell ref="B231:G231"/>
    <mergeCell ref="B232:G232"/>
    <mergeCell ref="B233:G233"/>
    <mergeCell ref="B234:G234"/>
    <mergeCell ref="H238:W238"/>
    <mergeCell ref="H239:W239"/>
    <mergeCell ref="H240:W240"/>
    <mergeCell ref="H235:W235"/>
    <mergeCell ref="H236:W236"/>
    <mergeCell ref="H237:W237"/>
    <mergeCell ref="B235:G235"/>
    <mergeCell ref="B236:G236"/>
    <mergeCell ref="B237:G237"/>
    <mergeCell ref="B238:G238"/>
    <mergeCell ref="B239:G239"/>
    <mergeCell ref="B240:G240"/>
    <mergeCell ref="H244:W244"/>
    <mergeCell ref="H245:W245"/>
    <mergeCell ref="H246:W246"/>
    <mergeCell ref="H241:W241"/>
    <mergeCell ref="H242:W242"/>
    <mergeCell ref="H243:W243"/>
    <mergeCell ref="B241:G241"/>
    <mergeCell ref="B242:G242"/>
    <mergeCell ref="B243:G243"/>
    <mergeCell ref="B244:G244"/>
    <mergeCell ref="B245:G245"/>
    <mergeCell ref="B246:G246"/>
    <mergeCell ref="H250:W250"/>
    <mergeCell ref="H251:W251"/>
    <mergeCell ref="H252:W252"/>
    <mergeCell ref="H247:W247"/>
    <mergeCell ref="H248:W248"/>
    <mergeCell ref="H249:W249"/>
    <mergeCell ref="B247:G247"/>
    <mergeCell ref="B248:G248"/>
    <mergeCell ref="B249:G249"/>
    <mergeCell ref="B250:G250"/>
    <mergeCell ref="B251:G251"/>
    <mergeCell ref="B252:G252"/>
    <mergeCell ref="H256:W256"/>
    <mergeCell ref="H257:W257"/>
    <mergeCell ref="H258:W258"/>
    <mergeCell ref="H253:W253"/>
    <mergeCell ref="H254:W254"/>
    <mergeCell ref="H255:W255"/>
    <mergeCell ref="B253:G253"/>
    <mergeCell ref="B254:G254"/>
    <mergeCell ref="B255:G255"/>
    <mergeCell ref="B256:G256"/>
    <mergeCell ref="B257:G257"/>
    <mergeCell ref="B258:G258"/>
    <mergeCell ref="H262:W262"/>
    <mergeCell ref="H263:W263"/>
    <mergeCell ref="H264:W264"/>
    <mergeCell ref="H259:W259"/>
    <mergeCell ref="H260:W260"/>
    <mergeCell ref="H261:W261"/>
    <mergeCell ref="B259:G259"/>
    <mergeCell ref="B260:G260"/>
    <mergeCell ref="B261:G261"/>
    <mergeCell ref="B262:G262"/>
    <mergeCell ref="B263:G263"/>
    <mergeCell ref="B264:G264"/>
    <mergeCell ref="H268:W268"/>
    <mergeCell ref="H269:W269"/>
    <mergeCell ref="H270:W270"/>
    <mergeCell ref="H265:W265"/>
    <mergeCell ref="H266:W266"/>
    <mergeCell ref="H267:W267"/>
    <mergeCell ref="B265:G265"/>
    <mergeCell ref="B266:G266"/>
    <mergeCell ref="B267:G267"/>
    <mergeCell ref="B268:G268"/>
    <mergeCell ref="B269:G269"/>
    <mergeCell ref="B270:G270"/>
    <mergeCell ref="H274:W274"/>
    <mergeCell ref="H275:W275"/>
    <mergeCell ref="H276:W276"/>
    <mergeCell ref="H271:W271"/>
    <mergeCell ref="H272:W272"/>
    <mergeCell ref="H273:W273"/>
    <mergeCell ref="B271:G271"/>
    <mergeCell ref="B272:G272"/>
    <mergeCell ref="B273:G273"/>
    <mergeCell ref="B274:G274"/>
    <mergeCell ref="B275:G275"/>
    <mergeCell ref="B276:G276"/>
    <mergeCell ref="H280:W280"/>
    <mergeCell ref="H281:W281"/>
    <mergeCell ref="H282:W282"/>
    <mergeCell ref="H277:W277"/>
    <mergeCell ref="H278:W278"/>
    <mergeCell ref="H279:W279"/>
    <mergeCell ref="B277:G277"/>
    <mergeCell ref="B278:G278"/>
    <mergeCell ref="B279:G279"/>
    <mergeCell ref="B280:G280"/>
    <mergeCell ref="B281:G281"/>
    <mergeCell ref="B282:G282"/>
    <mergeCell ref="H286:W286"/>
    <mergeCell ref="H287:W287"/>
    <mergeCell ref="H288:W288"/>
    <mergeCell ref="H283:W283"/>
    <mergeCell ref="H284:W284"/>
    <mergeCell ref="H285:W285"/>
    <mergeCell ref="B283:G283"/>
    <mergeCell ref="B284:G284"/>
    <mergeCell ref="B285:G285"/>
    <mergeCell ref="B286:G286"/>
    <mergeCell ref="B287:G287"/>
    <mergeCell ref="B288:G288"/>
    <mergeCell ref="H292:W292"/>
    <mergeCell ref="H293:W293"/>
    <mergeCell ref="H294:W294"/>
    <mergeCell ref="H289:W289"/>
    <mergeCell ref="H290:W290"/>
    <mergeCell ref="H291:W291"/>
    <mergeCell ref="B289:G289"/>
    <mergeCell ref="B290:G290"/>
    <mergeCell ref="B291:G291"/>
    <mergeCell ref="B292:G292"/>
    <mergeCell ref="B293:G293"/>
    <mergeCell ref="B294:G294"/>
    <mergeCell ref="H298:W298"/>
    <mergeCell ref="H299:W299"/>
    <mergeCell ref="H300:W300"/>
    <mergeCell ref="H295:W295"/>
    <mergeCell ref="H296:W296"/>
    <mergeCell ref="H297:W297"/>
    <mergeCell ref="B295:G295"/>
    <mergeCell ref="B296:G296"/>
    <mergeCell ref="B297:G297"/>
    <mergeCell ref="B298:G298"/>
    <mergeCell ref="B299:G299"/>
    <mergeCell ref="B300:G300"/>
    <mergeCell ref="H304:W304"/>
    <mergeCell ref="H305:W305"/>
    <mergeCell ref="H306:W306"/>
    <mergeCell ref="H301:W301"/>
    <mergeCell ref="H302:W302"/>
    <mergeCell ref="H303:W303"/>
    <mergeCell ref="B301:G301"/>
    <mergeCell ref="B302:G302"/>
    <mergeCell ref="B303:G303"/>
    <mergeCell ref="B304:G304"/>
    <mergeCell ref="B305:G305"/>
    <mergeCell ref="B306:G306"/>
    <mergeCell ref="H310:W310"/>
    <mergeCell ref="H311:W311"/>
    <mergeCell ref="H312:W312"/>
    <mergeCell ref="H307:W307"/>
    <mergeCell ref="H308:W308"/>
    <mergeCell ref="H309:W309"/>
    <mergeCell ref="B307:G307"/>
    <mergeCell ref="B308:G308"/>
    <mergeCell ref="B309:G309"/>
    <mergeCell ref="B310:G310"/>
    <mergeCell ref="B311:G311"/>
    <mergeCell ref="B312:G312"/>
    <mergeCell ref="H316:W316"/>
    <mergeCell ref="H317:W317"/>
    <mergeCell ref="H318:W318"/>
    <mergeCell ref="H313:W313"/>
    <mergeCell ref="H314:W314"/>
    <mergeCell ref="H315:W315"/>
    <mergeCell ref="B313:G313"/>
    <mergeCell ref="B314:G314"/>
    <mergeCell ref="B315:G315"/>
    <mergeCell ref="B316:G316"/>
    <mergeCell ref="B317:G317"/>
    <mergeCell ref="B318:G318"/>
    <mergeCell ref="H322:W322"/>
    <mergeCell ref="H323:W323"/>
    <mergeCell ref="H324:W324"/>
    <mergeCell ref="H319:W319"/>
    <mergeCell ref="H320:W320"/>
    <mergeCell ref="H321:W321"/>
    <mergeCell ref="B319:G319"/>
    <mergeCell ref="B320:G320"/>
    <mergeCell ref="B321:G321"/>
    <mergeCell ref="B322:G322"/>
    <mergeCell ref="B323:G323"/>
    <mergeCell ref="B324:G324"/>
    <mergeCell ref="H328:W328"/>
    <mergeCell ref="H329:W329"/>
    <mergeCell ref="H330:W330"/>
    <mergeCell ref="H325:W325"/>
    <mergeCell ref="H326:W326"/>
    <mergeCell ref="H327:W327"/>
    <mergeCell ref="B325:G325"/>
    <mergeCell ref="B326:G326"/>
    <mergeCell ref="B327:G327"/>
    <mergeCell ref="B328:G328"/>
    <mergeCell ref="B329:G329"/>
    <mergeCell ref="B330:G330"/>
    <mergeCell ref="H334:W334"/>
    <mergeCell ref="H335:W335"/>
    <mergeCell ref="H336:W336"/>
    <mergeCell ref="H331:W331"/>
    <mergeCell ref="H332:W332"/>
    <mergeCell ref="H333:W333"/>
    <mergeCell ref="B331:G331"/>
    <mergeCell ref="B332:G332"/>
    <mergeCell ref="B333:G333"/>
    <mergeCell ref="B334:G334"/>
    <mergeCell ref="B335:G335"/>
    <mergeCell ref="B336:G336"/>
    <mergeCell ref="H340:W340"/>
    <mergeCell ref="H341:W341"/>
    <mergeCell ref="H342:W342"/>
    <mergeCell ref="H337:W337"/>
    <mergeCell ref="H338:W338"/>
    <mergeCell ref="H339:W339"/>
    <mergeCell ref="B337:G337"/>
    <mergeCell ref="B338:G338"/>
    <mergeCell ref="B339:G339"/>
    <mergeCell ref="B340:G340"/>
    <mergeCell ref="B341:G341"/>
    <mergeCell ref="B342:G342"/>
    <mergeCell ref="H346:W346"/>
    <mergeCell ref="H347:W347"/>
    <mergeCell ref="H348:W348"/>
    <mergeCell ref="H343:W343"/>
    <mergeCell ref="H344:W344"/>
    <mergeCell ref="H345:W345"/>
    <mergeCell ref="B343:G343"/>
    <mergeCell ref="B344:G344"/>
    <mergeCell ref="B345:G345"/>
    <mergeCell ref="B346:G346"/>
    <mergeCell ref="B347:G347"/>
    <mergeCell ref="B348:G348"/>
    <mergeCell ref="H352:W352"/>
    <mergeCell ref="H353:W353"/>
    <mergeCell ref="H354:W354"/>
    <mergeCell ref="H349:W349"/>
    <mergeCell ref="H350:W350"/>
    <mergeCell ref="H351:W351"/>
    <mergeCell ref="B349:G349"/>
    <mergeCell ref="B350:G350"/>
    <mergeCell ref="B351:G351"/>
    <mergeCell ref="B352:G352"/>
    <mergeCell ref="B353:G353"/>
    <mergeCell ref="B354:G354"/>
    <mergeCell ref="H358:W358"/>
    <mergeCell ref="H359:W359"/>
    <mergeCell ref="H360:W360"/>
    <mergeCell ref="H355:W355"/>
    <mergeCell ref="H356:W356"/>
    <mergeCell ref="H357:W357"/>
    <mergeCell ref="B355:G355"/>
    <mergeCell ref="B356:G356"/>
    <mergeCell ref="B357:G357"/>
    <mergeCell ref="B358:G358"/>
    <mergeCell ref="B359:G359"/>
    <mergeCell ref="B360:G360"/>
    <mergeCell ref="H364:W364"/>
    <mergeCell ref="H365:W365"/>
    <mergeCell ref="H366:W366"/>
    <mergeCell ref="H361:W361"/>
    <mergeCell ref="H362:W362"/>
    <mergeCell ref="H363:W363"/>
    <mergeCell ref="B361:G361"/>
    <mergeCell ref="B362:G362"/>
    <mergeCell ref="B363:G363"/>
    <mergeCell ref="B364:G364"/>
    <mergeCell ref="B365:G365"/>
    <mergeCell ref="B366:G366"/>
    <mergeCell ref="H370:W370"/>
    <mergeCell ref="H371:W371"/>
    <mergeCell ref="H372:W372"/>
    <mergeCell ref="H367:W367"/>
    <mergeCell ref="H368:W368"/>
    <mergeCell ref="H369:W369"/>
    <mergeCell ref="B367:G367"/>
    <mergeCell ref="B368:G368"/>
    <mergeCell ref="B369:G369"/>
    <mergeCell ref="B370:G370"/>
    <mergeCell ref="B371:G371"/>
    <mergeCell ref="B372:G372"/>
    <mergeCell ref="H376:W376"/>
    <mergeCell ref="H377:W377"/>
    <mergeCell ref="H378:W378"/>
    <mergeCell ref="H373:W373"/>
    <mergeCell ref="H374:W374"/>
    <mergeCell ref="H375:W375"/>
    <mergeCell ref="B373:G373"/>
    <mergeCell ref="B374:G374"/>
    <mergeCell ref="B375:G375"/>
    <mergeCell ref="B376:G376"/>
    <mergeCell ref="B377:G377"/>
    <mergeCell ref="B378:G378"/>
    <mergeCell ref="H382:W382"/>
    <mergeCell ref="H383:W383"/>
    <mergeCell ref="H384:W384"/>
    <mergeCell ref="H379:W379"/>
    <mergeCell ref="H380:W380"/>
    <mergeCell ref="H381:W381"/>
    <mergeCell ref="B379:G379"/>
    <mergeCell ref="B380:G380"/>
    <mergeCell ref="B381:G381"/>
    <mergeCell ref="B382:G382"/>
    <mergeCell ref="B383:G383"/>
    <mergeCell ref="B384:G384"/>
    <mergeCell ref="H388:W388"/>
    <mergeCell ref="H389:W389"/>
    <mergeCell ref="H390:W390"/>
    <mergeCell ref="H385:W385"/>
    <mergeCell ref="H386:W386"/>
    <mergeCell ref="H387:W387"/>
    <mergeCell ref="B385:G385"/>
    <mergeCell ref="B386:G386"/>
    <mergeCell ref="B387:G387"/>
    <mergeCell ref="B388:G388"/>
    <mergeCell ref="B389:G389"/>
    <mergeCell ref="B390:G390"/>
    <mergeCell ref="H394:W394"/>
    <mergeCell ref="H395:W395"/>
    <mergeCell ref="H396:W396"/>
    <mergeCell ref="H391:W391"/>
    <mergeCell ref="H392:W392"/>
    <mergeCell ref="H393:W393"/>
    <mergeCell ref="B391:G391"/>
    <mergeCell ref="B392:G392"/>
    <mergeCell ref="B393:G393"/>
    <mergeCell ref="B394:G394"/>
    <mergeCell ref="B395:G395"/>
    <mergeCell ref="B396:G396"/>
    <mergeCell ref="H400:W400"/>
    <mergeCell ref="H401:W401"/>
    <mergeCell ref="H402:W402"/>
    <mergeCell ref="H397:W397"/>
    <mergeCell ref="H398:W398"/>
    <mergeCell ref="H399:W399"/>
    <mergeCell ref="B397:G397"/>
    <mergeCell ref="B398:G398"/>
    <mergeCell ref="B399:G399"/>
    <mergeCell ref="B400:G400"/>
    <mergeCell ref="B401:G401"/>
    <mergeCell ref="B402:G402"/>
    <mergeCell ref="H406:W406"/>
    <mergeCell ref="H407:W407"/>
    <mergeCell ref="H408:W408"/>
    <mergeCell ref="H403:W403"/>
    <mergeCell ref="H404:W404"/>
    <mergeCell ref="H405:W405"/>
    <mergeCell ref="B403:G403"/>
    <mergeCell ref="B404:G404"/>
    <mergeCell ref="B405:G405"/>
    <mergeCell ref="B406:G406"/>
    <mergeCell ref="B407:G407"/>
    <mergeCell ref="B408:G408"/>
    <mergeCell ref="H412:W412"/>
    <mergeCell ref="H413:W413"/>
    <mergeCell ref="H414:W414"/>
    <mergeCell ref="H409:W409"/>
    <mergeCell ref="H410:W410"/>
    <mergeCell ref="H411:W411"/>
    <mergeCell ref="B409:G409"/>
    <mergeCell ref="B410:G410"/>
    <mergeCell ref="B411:G411"/>
    <mergeCell ref="B412:G412"/>
    <mergeCell ref="B413:G413"/>
    <mergeCell ref="B414:G414"/>
    <mergeCell ref="H418:W418"/>
    <mergeCell ref="H419:W419"/>
    <mergeCell ref="H420:W420"/>
    <mergeCell ref="H415:W415"/>
    <mergeCell ref="H416:W416"/>
    <mergeCell ref="H417:W417"/>
    <mergeCell ref="B415:G415"/>
    <mergeCell ref="B416:G416"/>
    <mergeCell ref="B417:G417"/>
    <mergeCell ref="B418:G418"/>
    <mergeCell ref="B419:G419"/>
    <mergeCell ref="B420:G420"/>
    <mergeCell ref="H424:W424"/>
    <mergeCell ref="H425:W425"/>
    <mergeCell ref="H426:W426"/>
    <mergeCell ref="H421:W421"/>
    <mergeCell ref="H422:W422"/>
    <mergeCell ref="H423:W423"/>
    <mergeCell ref="B421:G421"/>
    <mergeCell ref="B422:G422"/>
    <mergeCell ref="B423:G423"/>
    <mergeCell ref="B424:G424"/>
    <mergeCell ref="B425:G425"/>
    <mergeCell ref="B426:G426"/>
    <mergeCell ref="H430:W430"/>
    <mergeCell ref="H431:W431"/>
    <mergeCell ref="H432:W432"/>
    <mergeCell ref="H427:W427"/>
    <mergeCell ref="H428:W428"/>
    <mergeCell ref="H429:W429"/>
    <mergeCell ref="B427:G427"/>
    <mergeCell ref="B428:G428"/>
    <mergeCell ref="B429:G429"/>
    <mergeCell ref="B430:G430"/>
    <mergeCell ref="B431:G431"/>
    <mergeCell ref="B432:G432"/>
    <mergeCell ref="H436:W436"/>
    <mergeCell ref="H437:W437"/>
    <mergeCell ref="H438:W438"/>
    <mergeCell ref="H433:W433"/>
    <mergeCell ref="H434:W434"/>
    <mergeCell ref="H435:W435"/>
    <mergeCell ref="B433:G433"/>
    <mergeCell ref="B434:G434"/>
    <mergeCell ref="B435:G435"/>
    <mergeCell ref="B436:G436"/>
    <mergeCell ref="B437:G437"/>
    <mergeCell ref="B438:G438"/>
    <mergeCell ref="H442:W442"/>
    <mergeCell ref="H443:W443"/>
    <mergeCell ref="H444:W444"/>
    <mergeCell ref="H439:W439"/>
    <mergeCell ref="H440:W440"/>
    <mergeCell ref="H441:W441"/>
    <mergeCell ref="B439:G439"/>
    <mergeCell ref="B440:G440"/>
    <mergeCell ref="B441:G441"/>
    <mergeCell ref="B442:G442"/>
    <mergeCell ref="B443:G443"/>
    <mergeCell ref="B444:G444"/>
    <mergeCell ref="H448:W448"/>
    <mergeCell ref="H449:W449"/>
    <mergeCell ref="H450:W450"/>
    <mergeCell ref="H445:W445"/>
    <mergeCell ref="H446:W446"/>
    <mergeCell ref="H447:W447"/>
    <mergeCell ref="B445:G445"/>
    <mergeCell ref="B446:G446"/>
    <mergeCell ref="B447:G447"/>
    <mergeCell ref="B448:G448"/>
    <mergeCell ref="B449:G449"/>
    <mergeCell ref="B450:G450"/>
    <mergeCell ref="H454:W454"/>
    <mergeCell ref="H455:W455"/>
    <mergeCell ref="H456:W456"/>
    <mergeCell ref="H451:W451"/>
    <mergeCell ref="H452:W452"/>
    <mergeCell ref="H453:W453"/>
    <mergeCell ref="B451:G451"/>
    <mergeCell ref="B452:G452"/>
    <mergeCell ref="B453:G453"/>
    <mergeCell ref="B454:G454"/>
    <mergeCell ref="B455:G455"/>
    <mergeCell ref="B456:G456"/>
    <mergeCell ref="H460:W460"/>
    <mergeCell ref="H461:W461"/>
    <mergeCell ref="H462:W462"/>
    <mergeCell ref="H457:W457"/>
    <mergeCell ref="H458:W458"/>
    <mergeCell ref="H459:W459"/>
    <mergeCell ref="B457:G457"/>
    <mergeCell ref="B458:G458"/>
    <mergeCell ref="B459:G459"/>
    <mergeCell ref="B460:G460"/>
    <mergeCell ref="B461:G461"/>
    <mergeCell ref="B462:G462"/>
    <mergeCell ref="H466:W466"/>
    <mergeCell ref="H467:W467"/>
    <mergeCell ref="H468:W468"/>
    <mergeCell ref="H463:W463"/>
    <mergeCell ref="H464:W464"/>
    <mergeCell ref="H465:W465"/>
    <mergeCell ref="B463:G463"/>
    <mergeCell ref="B464:G464"/>
    <mergeCell ref="B465:G465"/>
    <mergeCell ref="B466:G466"/>
    <mergeCell ref="B467:G467"/>
    <mergeCell ref="B468:G468"/>
    <mergeCell ref="H472:W472"/>
    <mergeCell ref="H473:W473"/>
    <mergeCell ref="H474:W474"/>
    <mergeCell ref="H469:W469"/>
    <mergeCell ref="H470:W470"/>
    <mergeCell ref="H471:W471"/>
    <mergeCell ref="B469:G469"/>
    <mergeCell ref="B470:G470"/>
    <mergeCell ref="B471:G471"/>
    <mergeCell ref="B472:G472"/>
    <mergeCell ref="B473:G473"/>
    <mergeCell ref="B474:G474"/>
    <mergeCell ref="H478:W478"/>
    <mergeCell ref="H479:W479"/>
    <mergeCell ref="H480:W480"/>
    <mergeCell ref="H475:W475"/>
    <mergeCell ref="H476:W476"/>
    <mergeCell ref="H477:W477"/>
    <mergeCell ref="B475:G475"/>
    <mergeCell ref="B476:G476"/>
    <mergeCell ref="B477:G477"/>
    <mergeCell ref="B478:G478"/>
    <mergeCell ref="B479:G479"/>
    <mergeCell ref="B480:G480"/>
    <mergeCell ref="H484:W484"/>
    <mergeCell ref="H485:W485"/>
    <mergeCell ref="H486:W486"/>
    <mergeCell ref="H481:W481"/>
    <mergeCell ref="H482:W482"/>
    <mergeCell ref="H483:W483"/>
    <mergeCell ref="B481:G481"/>
    <mergeCell ref="B482:G482"/>
    <mergeCell ref="B483:G483"/>
    <mergeCell ref="B484:G484"/>
    <mergeCell ref="B485:G485"/>
    <mergeCell ref="B486:G486"/>
    <mergeCell ref="H490:W490"/>
    <mergeCell ref="H491:W491"/>
    <mergeCell ref="H492:W492"/>
    <mergeCell ref="H487:W487"/>
    <mergeCell ref="H488:W488"/>
    <mergeCell ref="H489:W489"/>
    <mergeCell ref="B487:G487"/>
    <mergeCell ref="B488:G488"/>
    <mergeCell ref="B489:G489"/>
    <mergeCell ref="B490:G490"/>
    <mergeCell ref="B491:G491"/>
    <mergeCell ref="B492:G492"/>
    <mergeCell ref="H496:W496"/>
    <mergeCell ref="H497:W497"/>
    <mergeCell ref="H498:W498"/>
    <mergeCell ref="H493:W493"/>
    <mergeCell ref="H494:W494"/>
    <mergeCell ref="H495:W495"/>
    <mergeCell ref="B493:G493"/>
    <mergeCell ref="B494:G494"/>
    <mergeCell ref="B495:G495"/>
    <mergeCell ref="B496:G496"/>
    <mergeCell ref="B497:G497"/>
    <mergeCell ref="B498:G498"/>
    <mergeCell ref="H502:W502"/>
    <mergeCell ref="H503:W503"/>
    <mergeCell ref="H499:W499"/>
    <mergeCell ref="H500:W500"/>
    <mergeCell ref="H501:W501"/>
    <mergeCell ref="B499:G499"/>
    <mergeCell ref="B500:G500"/>
    <mergeCell ref="B501:G501"/>
    <mergeCell ref="B502:G502"/>
    <mergeCell ref="B503:G50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6EC5-E6BA-46E8-BE4E-0129922075A2}">
  <dimension ref="A1:W459"/>
  <sheetViews>
    <sheetView workbookViewId="0">
      <selection activeCell="B1" sqref="B1"/>
    </sheetView>
  </sheetViews>
  <sheetFormatPr baseColWidth="10" defaultRowHeight="15" x14ac:dyDescent="0.25"/>
  <cols>
    <col min="2" max="2" width="45.7109375" customWidth="1"/>
    <col min="3" max="3" width="21.7109375" customWidth="1"/>
    <col min="4" max="4" width="12.7109375" customWidth="1"/>
    <col min="5" max="7" width="16.7109375" customWidth="1"/>
    <col min="8" max="8" width="104.85546875" customWidth="1"/>
  </cols>
  <sheetData>
    <row r="1" spans="1:8" ht="32.25" customHeight="1" x14ac:dyDescent="0.25">
      <c r="B1" s="98" t="s">
        <v>5193</v>
      </c>
    </row>
    <row r="2" spans="1:8" ht="35.25" customHeight="1" thickBot="1" x14ac:dyDescent="0.3">
      <c r="A2" s="269"/>
      <c r="B2" s="817" t="s">
        <v>4404</v>
      </c>
      <c r="C2" s="817"/>
      <c r="D2" s="817"/>
      <c r="E2" s="817"/>
      <c r="F2" s="776"/>
      <c r="G2" s="776"/>
      <c r="H2" s="768" t="s">
        <v>4701</v>
      </c>
    </row>
    <row r="3" spans="1:8" ht="30" customHeight="1" thickBot="1" x14ac:dyDescent="0.3">
      <c r="A3" s="271">
        <v>1</v>
      </c>
      <c r="B3" s="1105" t="s">
        <v>3729</v>
      </c>
      <c r="C3" s="1105"/>
      <c r="D3" s="1105"/>
      <c r="E3" s="1105"/>
      <c r="F3" s="1105"/>
      <c r="G3" s="1106"/>
      <c r="H3" s="331" t="str">
        <f>B3</f>
        <v>Le plat était trop sec, il fallait plus de sauce.</v>
      </c>
    </row>
    <row r="4" spans="1:8" ht="15.75" x14ac:dyDescent="0.25">
      <c r="A4" s="271"/>
      <c r="B4" s="282" t="s">
        <v>4239</v>
      </c>
      <c r="C4" s="281" t="s">
        <v>3990</v>
      </c>
      <c r="D4" s="272"/>
      <c r="E4" s="272"/>
      <c r="F4" s="272"/>
      <c r="G4" s="272"/>
    </row>
    <row r="5" spans="1:8" ht="15.75" x14ac:dyDescent="0.25">
      <c r="A5" s="271"/>
      <c r="B5" s="282" t="s">
        <v>3557</v>
      </c>
      <c r="C5" s="281" t="s">
        <v>979</v>
      </c>
      <c r="D5" s="272"/>
      <c r="E5" s="272"/>
      <c r="F5" s="272"/>
      <c r="G5" s="272"/>
    </row>
    <row r="6" spans="1:8" ht="15.75" x14ac:dyDescent="0.25">
      <c r="A6" s="271"/>
      <c r="B6" s="282" t="s">
        <v>3558</v>
      </c>
      <c r="C6" s="281" t="s">
        <v>3991</v>
      </c>
      <c r="D6" s="272"/>
      <c r="E6" s="272"/>
      <c r="F6" s="272"/>
      <c r="G6" s="272"/>
    </row>
    <row r="7" spans="1:8" ht="16.5" thickBot="1" x14ac:dyDescent="0.3">
      <c r="A7" s="271"/>
      <c r="B7" s="282" t="s">
        <v>3559</v>
      </c>
      <c r="C7" s="281" t="s">
        <v>3992</v>
      </c>
    </row>
    <row r="8" spans="1:8" ht="30" customHeight="1" thickBot="1" x14ac:dyDescent="0.3">
      <c r="A8" s="271">
        <v>2</v>
      </c>
      <c r="B8" s="1105" t="s">
        <v>3993</v>
      </c>
      <c r="C8" s="1105"/>
      <c r="D8" s="1105"/>
      <c r="E8" s="1105"/>
      <c r="F8" s="1105"/>
      <c r="G8" s="1106"/>
      <c r="H8" s="331" t="str">
        <f>B8</f>
        <v>Le tofu n’avait pas beaucoup de goût.</v>
      </c>
    </row>
    <row r="9" spans="1:8" ht="15.75" x14ac:dyDescent="0.25">
      <c r="A9" s="271"/>
      <c r="B9" s="282" t="s">
        <v>4239</v>
      </c>
      <c r="C9" s="281" t="s">
        <v>3990</v>
      </c>
      <c r="D9" s="272"/>
      <c r="E9" s="272"/>
      <c r="F9" s="272"/>
      <c r="G9" s="272"/>
    </row>
    <row r="10" spans="1:8" ht="15.75" x14ac:dyDescent="0.25">
      <c r="A10" s="271"/>
      <c r="B10" s="282" t="s">
        <v>3557</v>
      </c>
      <c r="C10" s="281" t="s">
        <v>2840</v>
      </c>
      <c r="D10" s="272"/>
      <c r="E10" s="272"/>
      <c r="F10" s="272"/>
      <c r="G10" s="272"/>
    </row>
    <row r="11" spans="1:8" ht="15.75" x14ac:dyDescent="0.25">
      <c r="A11" s="271"/>
      <c r="B11" s="282" t="s">
        <v>3558</v>
      </c>
      <c r="C11" s="281" t="s">
        <v>3994</v>
      </c>
      <c r="D11" s="272"/>
      <c r="E11" s="272"/>
      <c r="F11" s="272"/>
      <c r="G11" s="272"/>
    </row>
    <row r="12" spans="1:8" ht="14.25" customHeight="1" thickBot="1" x14ac:dyDescent="0.3">
      <c r="A12" s="271"/>
      <c r="B12" s="282" t="s">
        <v>3559</v>
      </c>
      <c r="C12" s="281" t="s">
        <v>3995</v>
      </c>
    </row>
    <row r="13" spans="1:8" ht="30" customHeight="1" thickBot="1" x14ac:dyDescent="0.3">
      <c r="A13" s="271">
        <v>3</v>
      </c>
      <c r="B13" s="1105" t="s">
        <v>3996</v>
      </c>
      <c r="C13" s="1105"/>
      <c r="D13" s="1105"/>
      <c r="E13" s="1105"/>
      <c r="F13" s="1105"/>
      <c r="G13" s="1106"/>
      <c r="H13" s="331" t="str">
        <f>B13</f>
        <v>Il y avait trop de restes dans les assiettes.</v>
      </c>
    </row>
    <row r="14" spans="1:8" ht="15.75" x14ac:dyDescent="0.25">
      <c r="A14" s="271"/>
      <c r="B14" s="282" t="s">
        <v>4239</v>
      </c>
      <c r="C14" s="281" t="s">
        <v>3990</v>
      </c>
      <c r="D14" s="272"/>
      <c r="E14" s="272"/>
      <c r="F14" s="272"/>
      <c r="G14" s="272"/>
    </row>
    <row r="15" spans="1:8" ht="15.75" x14ac:dyDescent="0.25">
      <c r="A15" s="271"/>
      <c r="B15" s="282" t="s">
        <v>3557</v>
      </c>
      <c r="C15" s="281" t="s">
        <v>2845</v>
      </c>
      <c r="D15" s="272"/>
      <c r="E15" s="272"/>
      <c r="F15" s="272"/>
      <c r="G15" s="272"/>
    </row>
    <row r="16" spans="1:8" ht="15.75" x14ac:dyDescent="0.25">
      <c r="A16" s="271"/>
      <c r="B16" s="282" t="s">
        <v>3558</v>
      </c>
      <c r="C16" s="281" t="s">
        <v>3997</v>
      </c>
      <c r="D16" s="272"/>
      <c r="E16" s="272"/>
      <c r="F16" s="272"/>
      <c r="G16" s="272"/>
    </row>
    <row r="17" spans="1:8" ht="16.5" thickBot="1" x14ac:dyDescent="0.3">
      <c r="A17" s="271"/>
      <c r="B17" s="282" t="s">
        <v>3559</v>
      </c>
      <c r="C17" s="281" t="s">
        <v>3998</v>
      </c>
    </row>
    <row r="18" spans="1:8" ht="30" customHeight="1" thickBot="1" x14ac:dyDescent="0.3">
      <c r="A18" s="271">
        <v>4</v>
      </c>
      <c r="B18" s="1105" t="s">
        <v>3999</v>
      </c>
      <c r="C18" s="1105"/>
      <c r="D18" s="1105"/>
      <c r="E18" s="1105"/>
      <c r="F18" s="1105"/>
      <c r="G18" s="1106"/>
      <c r="H18" s="331" t="str">
        <f>B18</f>
        <v>Le seitan contient du gluten, il faut le dire aux élèves.</v>
      </c>
    </row>
    <row r="19" spans="1:8" ht="15.75" x14ac:dyDescent="0.25">
      <c r="A19" s="271"/>
      <c r="B19" s="282" t="s">
        <v>4239</v>
      </c>
      <c r="C19" s="281" t="s">
        <v>3990</v>
      </c>
      <c r="D19" s="272"/>
      <c r="E19" s="272"/>
      <c r="F19" s="272"/>
      <c r="G19" s="272"/>
    </row>
    <row r="20" spans="1:8" ht="15.75" x14ac:dyDescent="0.25">
      <c r="A20" s="271"/>
      <c r="B20" s="282" t="s">
        <v>3557</v>
      </c>
      <c r="C20" s="281" t="s">
        <v>2205</v>
      </c>
      <c r="D20" s="272"/>
      <c r="E20" s="272"/>
      <c r="F20" s="272"/>
      <c r="G20" s="272"/>
    </row>
    <row r="21" spans="1:8" ht="15.75" x14ac:dyDescent="0.25">
      <c r="A21" s="271"/>
      <c r="B21" s="282" t="s">
        <v>3558</v>
      </c>
      <c r="C21" s="281" t="s">
        <v>4000</v>
      </c>
      <c r="D21" s="272"/>
      <c r="E21" s="272"/>
      <c r="F21" s="272"/>
      <c r="G21" s="272"/>
    </row>
    <row r="22" spans="1:8" ht="16.5" thickBot="1" x14ac:dyDescent="0.3">
      <c r="A22" s="271"/>
      <c r="B22" s="282" t="s">
        <v>3559</v>
      </c>
      <c r="C22" s="281" t="s">
        <v>4001</v>
      </c>
    </row>
    <row r="23" spans="1:8" ht="30" customHeight="1" thickBot="1" x14ac:dyDescent="0.3">
      <c r="A23" s="271">
        <v>5</v>
      </c>
      <c r="B23" s="1105" t="s">
        <v>4002</v>
      </c>
      <c r="C23" s="1105"/>
      <c r="D23" s="1105"/>
      <c r="E23" s="1105"/>
      <c r="F23" s="1105"/>
      <c r="G23" s="1106"/>
      <c r="H23" s="331" t="str">
        <f>B23</f>
        <v>On n’a pas expliqué le plat, donc personne ne voulait goûter.</v>
      </c>
    </row>
    <row r="24" spans="1:8" ht="15.75" x14ac:dyDescent="0.25">
      <c r="A24" s="271"/>
      <c r="B24" s="282" t="s">
        <v>4239</v>
      </c>
      <c r="C24" s="281" t="s">
        <v>3990</v>
      </c>
      <c r="D24" s="272"/>
      <c r="E24" s="272"/>
      <c r="F24" s="272"/>
      <c r="G24" s="272"/>
    </row>
    <row r="25" spans="1:8" ht="15.75" x14ac:dyDescent="0.25">
      <c r="A25" s="271"/>
      <c r="B25" s="282" t="s">
        <v>3557</v>
      </c>
      <c r="C25" s="281" t="s">
        <v>1566</v>
      </c>
      <c r="D25" s="272"/>
      <c r="E25" s="272"/>
      <c r="F25" s="272"/>
      <c r="G25" s="272"/>
    </row>
    <row r="26" spans="1:8" ht="15.75" x14ac:dyDescent="0.25">
      <c r="A26" s="271"/>
      <c r="B26" s="282" t="s">
        <v>3558</v>
      </c>
      <c r="C26" s="281" t="s">
        <v>4003</v>
      </c>
      <c r="D26" s="272"/>
      <c r="E26" s="272"/>
      <c r="F26" s="272"/>
      <c r="G26" s="272"/>
    </row>
    <row r="27" spans="1:8" ht="16.5" thickBot="1" x14ac:dyDescent="0.3">
      <c r="A27" s="271"/>
      <c r="B27" s="282" t="s">
        <v>3559</v>
      </c>
      <c r="C27" s="281" t="s">
        <v>4004</v>
      </c>
    </row>
    <row r="28" spans="1:8" ht="30" customHeight="1" thickBot="1" x14ac:dyDescent="0.3">
      <c r="A28" s="271">
        <v>6</v>
      </c>
      <c r="B28" s="1105" t="s">
        <v>4006</v>
      </c>
      <c r="C28" s="1105"/>
      <c r="D28" s="1105"/>
      <c r="E28" s="1105"/>
      <c r="F28" s="1105"/>
      <c r="G28" s="1106"/>
      <c r="H28" s="331" t="str">
        <f>B28</f>
        <v>La sauce était trop courte et les lentilles étaient sèches.</v>
      </c>
    </row>
    <row r="29" spans="1:8" ht="15.75" x14ac:dyDescent="0.25">
      <c r="A29" s="271"/>
      <c r="B29" s="282" t="s">
        <v>4239</v>
      </c>
      <c r="C29" s="281" t="s">
        <v>3990</v>
      </c>
      <c r="D29" s="272"/>
      <c r="E29" s="272"/>
      <c r="F29" s="272"/>
      <c r="G29" s="272"/>
    </row>
    <row r="30" spans="1:8" ht="15.75" x14ac:dyDescent="0.25">
      <c r="A30" s="271"/>
      <c r="B30" s="282" t="s">
        <v>3557</v>
      </c>
      <c r="C30" s="281" t="s">
        <v>4005</v>
      </c>
      <c r="D30" s="272"/>
      <c r="E30" s="272"/>
      <c r="F30" s="272"/>
      <c r="G30" s="272"/>
    </row>
    <row r="31" spans="1:8" ht="15.75" x14ac:dyDescent="0.25">
      <c r="A31" s="271"/>
      <c r="B31" s="282" t="s">
        <v>3558</v>
      </c>
      <c r="C31" s="281" t="s">
        <v>4007</v>
      </c>
      <c r="D31" s="272"/>
      <c r="E31" s="272"/>
      <c r="F31" s="272"/>
      <c r="G31" s="272"/>
    </row>
    <row r="32" spans="1:8" ht="16.5" thickBot="1" x14ac:dyDescent="0.3">
      <c r="A32" s="271"/>
      <c r="B32" s="282" t="s">
        <v>3559</v>
      </c>
      <c r="C32" s="281" t="s">
        <v>4008</v>
      </c>
    </row>
    <row r="33" spans="1:8" ht="30" customHeight="1" thickBot="1" x14ac:dyDescent="0.3">
      <c r="A33" s="271">
        <v>7</v>
      </c>
      <c r="B33" s="1105" t="s">
        <v>4009</v>
      </c>
      <c r="C33" s="1105"/>
      <c r="D33" s="1105"/>
      <c r="E33" s="1105"/>
      <c r="F33" s="1105"/>
      <c r="G33" s="1106"/>
      <c r="H33" s="331" t="str">
        <f>B33</f>
        <v>Les pois cassés faisaient trop purée, ce n’était pas agréable.</v>
      </c>
    </row>
    <row r="34" spans="1:8" ht="15.75" x14ac:dyDescent="0.25">
      <c r="A34" s="271"/>
      <c r="B34" s="282" t="s">
        <v>4239</v>
      </c>
      <c r="C34" s="281" t="s">
        <v>3990</v>
      </c>
      <c r="D34" s="272"/>
      <c r="E34" s="272"/>
      <c r="F34" s="272"/>
      <c r="G34" s="272"/>
    </row>
    <row r="35" spans="1:8" ht="15.75" x14ac:dyDescent="0.25">
      <c r="A35" s="271"/>
      <c r="B35" s="282" t="s">
        <v>3557</v>
      </c>
      <c r="C35" s="281" t="s">
        <v>979</v>
      </c>
      <c r="D35" s="272"/>
      <c r="E35" s="272"/>
      <c r="F35" s="272"/>
      <c r="G35" s="272"/>
    </row>
    <row r="36" spans="1:8" ht="15.75" x14ac:dyDescent="0.25">
      <c r="A36" s="271"/>
      <c r="B36" s="282" t="s">
        <v>3558</v>
      </c>
      <c r="C36" s="281" t="s">
        <v>4010</v>
      </c>
      <c r="D36" s="272"/>
      <c r="E36" s="272"/>
      <c r="F36" s="272"/>
      <c r="G36" s="272"/>
    </row>
    <row r="37" spans="1:8" ht="16.5" thickBot="1" x14ac:dyDescent="0.3">
      <c r="A37" s="271"/>
      <c r="B37" s="282" t="s">
        <v>3559</v>
      </c>
      <c r="C37" s="281" t="s">
        <v>4011</v>
      </c>
    </row>
    <row r="38" spans="1:8" ht="30" customHeight="1" thickBot="1" x14ac:dyDescent="0.3">
      <c r="A38" s="271">
        <v>8</v>
      </c>
      <c r="B38" s="1105" t="s">
        <v>4012</v>
      </c>
      <c r="C38" s="1105"/>
      <c r="D38" s="1105"/>
      <c r="E38" s="1105"/>
      <c r="F38" s="1105"/>
      <c r="G38" s="1106"/>
      <c r="H38" s="331" t="str">
        <f>B38</f>
        <v>Les élèves n’ont pas aimé le plat végétal.</v>
      </c>
    </row>
    <row r="39" spans="1:8" ht="15.75" x14ac:dyDescent="0.25">
      <c r="A39" s="271"/>
      <c r="B39" s="282" t="s">
        <v>4239</v>
      </c>
      <c r="C39" s="281" t="s">
        <v>3990</v>
      </c>
      <c r="D39" s="272"/>
      <c r="E39" s="272"/>
      <c r="F39" s="272"/>
      <c r="G39" s="272"/>
    </row>
    <row r="40" spans="1:8" ht="15.75" x14ac:dyDescent="0.25">
      <c r="A40" s="271"/>
      <c r="B40" s="282" t="s">
        <v>3557</v>
      </c>
      <c r="C40" s="281" t="s">
        <v>1235</v>
      </c>
      <c r="D40" s="272"/>
      <c r="E40" s="272"/>
      <c r="F40" s="272"/>
      <c r="G40" s="272"/>
    </row>
    <row r="41" spans="1:8" ht="15.75" x14ac:dyDescent="0.25">
      <c r="A41" s="271"/>
      <c r="B41" s="282" t="s">
        <v>3558</v>
      </c>
      <c r="C41" s="281" t="s">
        <v>4013</v>
      </c>
      <c r="D41" s="272"/>
      <c r="E41" s="272"/>
      <c r="F41" s="272"/>
      <c r="G41" s="272"/>
    </row>
    <row r="42" spans="1:8" ht="16.5" thickBot="1" x14ac:dyDescent="0.3">
      <c r="A42" s="271"/>
      <c r="B42" s="282" t="s">
        <v>3559</v>
      </c>
      <c r="C42" s="281" t="s">
        <v>4014</v>
      </c>
    </row>
    <row r="43" spans="1:8" ht="30" customHeight="1" thickBot="1" x14ac:dyDescent="0.3">
      <c r="A43" s="271">
        <v>9</v>
      </c>
      <c r="B43" s="1105" t="s">
        <v>4015</v>
      </c>
      <c r="C43" s="1105"/>
      <c r="D43" s="1105"/>
      <c r="E43" s="1105"/>
      <c r="F43" s="1105"/>
      <c r="G43" s="1106"/>
      <c r="H43" s="331" t="str">
        <f>B43</f>
        <v>Le plat était fade, il manquait des épices.</v>
      </c>
    </row>
    <row r="44" spans="1:8" ht="15.75" x14ac:dyDescent="0.25">
      <c r="A44" s="271"/>
      <c r="B44" s="282" t="s">
        <v>4239</v>
      </c>
      <c r="C44" s="281" t="s">
        <v>3990</v>
      </c>
      <c r="D44" s="272"/>
      <c r="E44" s="272"/>
      <c r="F44" s="272"/>
      <c r="G44" s="272"/>
    </row>
    <row r="45" spans="1:8" ht="15.75" x14ac:dyDescent="0.25">
      <c r="A45" s="271"/>
      <c r="B45" s="282" t="s">
        <v>3557</v>
      </c>
      <c r="C45" s="281" t="s">
        <v>966</v>
      </c>
      <c r="D45" s="272"/>
      <c r="E45" s="272"/>
      <c r="F45" s="272"/>
      <c r="G45" s="272"/>
    </row>
    <row r="46" spans="1:8" ht="15.75" x14ac:dyDescent="0.25">
      <c r="A46" s="271"/>
      <c r="B46" s="282" t="s">
        <v>3558</v>
      </c>
      <c r="C46" s="281" t="s">
        <v>4016</v>
      </c>
      <c r="D46" s="272"/>
      <c r="E46" s="272"/>
      <c r="F46" s="272"/>
      <c r="G46" s="272"/>
    </row>
    <row r="47" spans="1:8" ht="16.5" thickBot="1" x14ac:dyDescent="0.3">
      <c r="A47" s="271"/>
      <c r="B47" s="282" t="s">
        <v>3559</v>
      </c>
      <c r="C47" s="281" t="s">
        <v>4017</v>
      </c>
    </row>
    <row r="48" spans="1:8" ht="30" customHeight="1" thickBot="1" x14ac:dyDescent="0.3">
      <c r="A48" s="271">
        <v>10</v>
      </c>
      <c r="B48" s="1105" t="s">
        <v>4019</v>
      </c>
      <c r="C48" s="1105"/>
      <c r="D48" s="1105"/>
      <c r="E48" s="1105"/>
      <c r="F48" s="1105"/>
      <c r="G48" s="1106"/>
      <c r="H48" s="331" t="str">
        <f>B48</f>
        <v>Les pois chiches avec du riz et de la sauce, ça passe mieux.</v>
      </c>
    </row>
    <row r="49" spans="1:8" ht="15.75" x14ac:dyDescent="0.25">
      <c r="A49" s="271"/>
      <c r="B49" s="282" t="s">
        <v>4239</v>
      </c>
      <c r="C49" s="281" t="s">
        <v>3990</v>
      </c>
      <c r="D49" s="272"/>
      <c r="E49" s="272"/>
      <c r="F49" s="272"/>
      <c r="G49" s="272"/>
    </row>
    <row r="50" spans="1:8" ht="15.75" x14ac:dyDescent="0.25">
      <c r="A50" s="271"/>
      <c r="B50" s="282" t="s">
        <v>3557</v>
      </c>
      <c r="C50" s="281" t="s">
        <v>4018</v>
      </c>
      <c r="D50" s="272"/>
      <c r="E50" s="272"/>
      <c r="F50" s="272"/>
      <c r="G50" s="272"/>
    </row>
    <row r="51" spans="1:8" ht="15.75" x14ac:dyDescent="0.25">
      <c r="A51" s="271"/>
      <c r="B51" s="282" t="s">
        <v>3558</v>
      </c>
      <c r="C51" s="281" t="s">
        <v>3762</v>
      </c>
      <c r="D51" s="272"/>
      <c r="E51" s="272"/>
      <c r="F51" s="272"/>
      <c r="G51" s="272"/>
    </row>
    <row r="52" spans="1:8" ht="16.5" thickBot="1" x14ac:dyDescent="0.3">
      <c r="A52" s="271"/>
      <c r="B52" s="282" t="s">
        <v>3559</v>
      </c>
      <c r="C52" s="281" t="s">
        <v>4020</v>
      </c>
    </row>
    <row r="53" spans="1:8" ht="30" customHeight="1" thickBot="1" x14ac:dyDescent="0.3">
      <c r="A53" s="271">
        <v>11</v>
      </c>
      <c r="B53" s="1105" t="s">
        <v>4022</v>
      </c>
      <c r="C53" s="1105"/>
      <c r="D53" s="1105"/>
      <c r="E53" s="1105"/>
      <c r="F53" s="1105"/>
      <c r="G53" s="1106"/>
      <c r="H53" s="331" t="str">
        <f>B53</f>
        <v>Le chili aux haricots rouges était bon mais un peu pâteux.</v>
      </c>
    </row>
    <row r="54" spans="1:8" ht="15.75" x14ac:dyDescent="0.25">
      <c r="A54" s="271"/>
      <c r="B54" s="282" t="s">
        <v>4239</v>
      </c>
      <c r="C54" s="281" t="s">
        <v>4021</v>
      </c>
      <c r="D54" s="272"/>
      <c r="E54" s="272"/>
      <c r="F54" s="272"/>
      <c r="G54" s="272"/>
    </row>
    <row r="55" spans="1:8" ht="15.75" x14ac:dyDescent="0.25">
      <c r="A55" s="271"/>
      <c r="B55" s="282" t="s">
        <v>3557</v>
      </c>
      <c r="C55" s="281" t="s">
        <v>979</v>
      </c>
      <c r="D55" s="272"/>
      <c r="E55" s="272"/>
      <c r="F55" s="272"/>
      <c r="G55" s="272"/>
    </row>
    <row r="56" spans="1:8" ht="15.75" x14ac:dyDescent="0.25">
      <c r="A56" s="271"/>
      <c r="B56" s="282" t="s">
        <v>3558</v>
      </c>
      <c r="C56" s="281" t="s">
        <v>4023</v>
      </c>
      <c r="D56" s="272"/>
      <c r="E56" s="272"/>
      <c r="F56" s="272"/>
      <c r="G56" s="272"/>
    </row>
    <row r="57" spans="1:8" ht="16.5" thickBot="1" x14ac:dyDescent="0.3">
      <c r="A57" s="271"/>
      <c r="B57" s="282" t="s">
        <v>3559</v>
      </c>
      <c r="C57" s="281" t="s">
        <v>4024</v>
      </c>
    </row>
    <row r="58" spans="1:8" ht="30" customHeight="1" thickBot="1" x14ac:dyDescent="0.3">
      <c r="A58" s="271">
        <v>12</v>
      </c>
      <c r="B58" s="1105" t="s">
        <v>4025</v>
      </c>
      <c r="C58" s="1105"/>
      <c r="D58" s="1105"/>
      <c r="E58" s="1105"/>
      <c r="F58" s="1105"/>
      <c r="G58" s="1106"/>
      <c r="H58" s="331" t="str">
        <f>B58</f>
        <v>Le plat coûtait moins cher, mais si tout part à la poubelle ce n’est pas rentable.</v>
      </c>
    </row>
    <row r="59" spans="1:8" ht="15.75" x14ac:dyDescent="0.25">
      <c r="A59" s="271"/>
      <c r="B59" s="282" t="s">
        <v>4239</v>
      </c>
      <c r="C59" s="281" t="s">
        <v>4021</v>
      </c>
      <c r="D59" s="272"/>
      <c r="E59" s="272"/>
      <c r="F59" s="272"/>
      <c r="G59" s="272"/>
    </row>
    <row r="60" spans="1:8" ht="15.75" x14ac:dyDescent="0.25">
      <c r="A60" s="271"/>
      <c r="B60" s="282" t="s">
        <v>3557</v>
      </c>
      <c r="C60" s="281" t="s">
        <v>2845</v>
      </c>
      <c r="D60" s="272"/>
      <c r="E60" s="272"/>
      <c r="F60" s="272"/>
      <c r="G60" s="272"/>
    </row>
    <row r="61" spans="1:8" ht="15.75" x14ac:dyDescent="0.25">
      <c r="A61" s="271"/>
      <c r="B61" s="282" t="s">
        <v>3558</v>
      </c>
      <c r="C61" s="281" t="s">
        <v>4026</v>
      </c>
      <c r="D61" s="272"/>
      <c r="E61" s="272"/>
      <c r="F61" s="272"/>
      <c r="G61" s="272"/>
    </row>
    <row r="62" spans="1:8" ht="16.5" thickBot="1" x14ac:dyDescent="0.3">
      <c r="A62" s="271"/>
      <c r="B62" s="282" t="s">
        <v>3559</v>
      </c>
      <c r="C62" s="281" t="s">
        <v>4027</v>
      </c>
    </row>
    <row r="63" spans="1:8" ht="30" customHeight="1" thickBot="1" x14ac:dyDescent="0.3">
      <c r="A63" s="271">
        <v>13</v>
      </c>
      <c r="B63" s="1105" t="s">
        <v>4028</v>
      </c>
      <c r="C63" s="1105"/>
      <c r="D63" s="1105"/>
      <c r="E63" s="1105"/>
      <c r="F63" s="1105"/>
      <c r="G63" s="1106"/>
      <c r="H63" s="331" t="str">
        <f>B63</f>
        <v>Il faudrait dire curry de pois chiches au lieu de juste plat végétal.</v>
      </c>
    </row>
    <row r="64" spans="1:8" ht="15.75" x14ac:dyDescent="0.25">
      <c r="A64" s="271"/>
      <c r="B64" s="282" t="s">
        <v>4239</v>
      </c>
      <c r="C64" s="281" t="s">
        <v>4021</v>
      </c>
      <c r="D64" s="272"/>
      <c r="E64" s="272"/>
      <c r="F64" s="272"/>
      <c r="G64" s="272"/>
    </row>
    <row r="65" spans="1:8" ht="15.75" x14ac:dyDescent="0.25">
      <c r="A65" s="271"/>
      <c r="B65" s="282" t="s">
        <v>3557</v>
      </c>
      <c r="C65" s="281" t="s">
        <v>1566</v>
      </c>
      <c r="D65" s="272"/>
      <c r="E65" s="272"/>
      <c r="F65" s="272"/>
      <c r="G65" s="272"/>
    </row>
    <row r="66" spans="1:8" ht="15.75" x14ac:dyDescent="0.25">
      <c r="A66" s="271"/>
      <c r="B66" s="282" t="s">
        <v>3558</v>
      </c>
      <c r="C66" s="281" t="s">
        <v>4029</v>
      </c>
      <c r="D66" s="272"/>
      <c r="E66" s="272"/>
      <c r="F66" s="272"/>
      <c r="G66" s="272"/>
    </row>
    <row r="67" spans="1:8" ht="16.5" thickBot="1" x14ac:dyDescent="0.3">
      <c r="A67" s="271"/>
      <c r="B67" s="282" t="s">
        <v>3559</v>
      </c>
      <c r="C67" s="281" t="s">
        <v>4030</v>
      </c>
    </row>
    <row r="68" spans="1:8" ht="30" customHeight="1" thickBot="1" x14ac:dyDescent="0.3">
      <c r="A68" s="271">
        <v>14</v>
      </c>
      <c r="B68" s="1105" t="s">
        <v>4031</v>
      </c>
      <c r="C68" s="1105"/>
      <c r="D68" s="1105"/>
      <c r="E68" s="1105"/>
      <c r="F68" s="1105"/>
      <c r="G68" s="1106"/>
      <c r="H68" s="331" t="str">
        <f>B68</f>
        <v>Après une heure au chaud, le plat était devenu épais et sec.</v>
      </c>
    </row>
    <row r="69" spans="1:8" ht="15.75" x14ac:dyDescent="0.25">
      <c r="A69" s="271"/>
      <c r="B69" s="282" t="s">
        <v>4239</v>
      </c>
      <c r="C69" s="281" t="s">
        <v>4021</v>
      </c>
      <c r="D69" s="272"/>
      <c r="E69" s="272"/>
      <c r="F69" s="272"/>
      <c r="G69" s="272"/>
    </row>
    <row r="70" spans="1:8" ht="15.75" x14ac:dyDescent="0.25">
      <c r="A70" s="271"/>
      <c r="B70" s="282" t="s">
        <v>3557</v>
      </c>
      <c r="C70" s="281" t="s">
        <v>1977</v>
      </c>
      <c r="D70" s="272"/>
      <c r="E70" s="272"/>
      <c r="F70" s="272"/>
      <c r="G70" s="272"/>
    </row>
    <row r="71" spans="1:8" ht="15.75" x14ac:dyDescent="0.25">
      <c r="A71" s="271"/>
      <c r="B71" s="282" t="s">
        <v>3558</v>
      </c>
      <c r="C71" s="281" t="s">
        <v>4032</v>
      </c>
      <c r="D71" s="272"/>
      <c r="E71" s="272"/>
      <c r="F71" s="272"/>
      <c r="G71" s="272"/>
    </row>
    <row r="72" spans="1:8" ht="16.5" thickBot="1" x14ac:dyDescent="0.3">
      <c r="A72" s="271"/>
      <c r="B72" s="282" t="s">
        <v>3559</v>
      </c>
      <c r="C72" s="281" t="s">
        <v>4033</v>
      </c>
    </row>
    <row r="73" spans="1:8" ht="30" customHeight="1" thickBot="1" x14ac:dyDescent="0.3">
      <c r="A73" s="271">
        <v>15</v>
      </c>
      <c r="B73" s="1105" t="s">
        <v>4034</v>
      </c>
      <c r="C73" s="1105"/>
      <c r="D73" s="1105"/>
      <c r="E73" s="1105"/>
      <c r="F73" s="1105"/>
      <c r="G73" s="1106"/>
      <c r="H73" s="331" t="str">
        <f>B73</f>
        <v>Le tofu doit être mariné sinon il n’a pas assez de goût.</v>
      </c>
    </row>
    <row r="74" spans="1:8" ht="15.75" x14ac:dyDescent="0.25">
      <c r="A74" s="271"/>
      <c r="B74" s="282" t="s">
        <v>4239</v>
      </c>
      <c r="C74" s="281" t="s">
        <v>4021</v>
      </c>
      <c r="D74" s="281"/>
      <c r="E74" s="281"/>
      <c r="F74" s="281"/>
      <c r="G74" s="281"/>
      <c r="H74" s="281"/>
    </row>
    <row r="75" spans="1:8" ht="15.75" x14ac:dyDescent="0.25">
      <c r="A75" s="271"/>
      <c r="B75" s="282" t="s">
        <v>3557</v>
      </c>
      <c r="C75" s="281" t="s">
        <v>2840</v>
      </c>
      <c r="D75" s="281"/>
      <c r="E75" s="281"/>
      <c r="F75" s="281"/>
      <c r="G75" s="281"/>
      <c r="H75" s="281"/>
    </row>
    <row r="76" spans="1:8" ht="15.75" x14ac:dyDescent="0.25">
      <c r="A76" s="271"/>
      <c r="B76" s="282" t="s">
        <v>3558</v>
      </c>
      <c r="C76" s="281" t="s">
        <v>4035</v>
      </c>
      <c r="D76" s="281"/>
      <c r="E76" s="281"/>
      <c r="F76" s="281"/>
      <c r="G76" s="281"/>
      <c r="H76" s="281"/>
    </row>
    <row r="77" spans="1:8" ht="16.5" thickBot="1" x14ac:dyDescent="0.3">
      <c r="A77" s="271"/>
      <c r="B77" s="282" t="s">
        <v>3559</v>
      </c>
      <c r="C77" s="281" t="s">
        <v>4036</v>
      </c>
      <c r="D77" s="281"/>
      <c r="E77" s="281"/>
      <c r="F77" s="281"/>
      <c r="G77" s="281"/>
      <c r="H77" s="281"/>
    </row>
    <row r="78" spans="1:8" ht="30" customHeight="1" thickBot="1" x14ac:dyDescent="0.3">
      <c r="A78" s="271">
        <v>16</v>
      </c>
      <c r="B78" s="1105" t="s">
        <v>4037</v>
      </c>
      <c r="C78" s="1105"/>
      <c r="D78" s="1105"/>
      <c r="E78" s="1105"/>
      <c r="F78" s="1105"/>
      <c r="G78" s="1106"/>
      <c r="H78" s="331" t="str">
        <f>B78</f>
        <v>Si on met de la sauce soja, il faut noter l’allergène soja.</v>
      </c>
    </row>
    <row r="79" spans="1:8" ht="15.75" x14ac:dyDescent="0.25">
      <c r="A79" s="271"/>
      <c r="B79" s="282" t="s">
        <v>4239</v>
      </c>
      <c r="C79" s="281" t="s">
        <v>4021</v>
      </c>
      <c r="D79" s="272"/>
      <c r="E79" s="272"/>
      <c r="F79" s="272"/>
      <c r="G79" s="272"/>
    </row>
    <row r="80" spans="1:8" ht="15.75" x14ac:dyDescent="0.25">
      <c r="A80" s="271"/>
      <c r="B80" s="282" t="s">
        <v>3557</v>
      </c>
      <c r="C80" s="281" t="s">
        <v>2205</v>
      </c>
      <c r="D80" s="272"/>
      <c r="E80" s="272"/>
      <c r="F80" s="272"/>
      <c r="G80" s="272"/>
    </row>
    <row r="81" spans="1:8" ht="15.75" x14ac:dyDescent="0.25">
      <c r="A81" s="271"/>
      <c r="B81" s="282" t="s">
        <v>3558</v>
      </c>
      <c r="C81" s="281" t="s">
        <v>4038</v>
      </c>
      <c r="D81" s="272"/>
      <c r="E81" s="272"/>
      <c r="F81" s="272"/>
      <c r="G81" s="272"/>
    </row>
    <row r="82" spans="1:8" ht="16.5" thickBot="1" x14ac:dyDescent="0.3">
      <c r="A82" s="271"/>
      <c r="B82" s="282" t="s">
        <v>3559</v>
      </c>
      <c r="C82" s="281" t="s">
        <v>4039</v>
      </c>
    </row>
    <row r="83" spans="1:8" ht="30" customHeight="1" thickBot="1" x14ac:dyDescent="0.3">
      <c r="A83" s="271">
        <v>17</v>
      </c>
      <c r="B83" s="1105" t="s">
        <v>4040</v>
      </c>
      <c r="C83" s="1105"/>
      <c r="D83" s="1105"/>
      <c r="E83" s="1105"/>
      <c r="F83" s="1105"/>
      <c r="G83" s="1106"/>
      <c r="H83" s="331" t="str">
        <f>B83</f>
        <v>Les portions étaient trop grosses, beaucoup d’élèves ont jeté.</v>
      </c>
    </row>
    <row r="84" spans="1:8" ht="15.75" x14ac:dyDescent="0.25">
      <c r="A84" s="271"/>
      <c r="B84" s="282" t="s">
        <v>4239</v>
      </c>
      <c r="C84" s="281" t="s">
        <v>4021</v>
      </c>
      <c r="D84" s="272"/>
      <c r="E84" s="272"/>
      <c r="F84" s="272"/>
      <c r="G84" s="272"/>
    </row>
    <row r="85" spans="1:8" ht="15.75" x14ac:dyDescent="0.25">
      <c r="A85" s="271"/>
      <c r="B85" s="282" t="s">
        <v>3557</v>
      </c>
      <c r="C85" s="281" t="s">
        <v>897</v>
      </c>
      <c r="D85" s="272"/>
      <c r="E85" s="272"/>
      <c r="F85" s="272"/>
      <c r="G85" s="272"/>
    </row>
    <row r="86" spans="1:8" ht="15.75" x14ac:dyDescent="0.25">
      <c r="A86" s="271"/>
      <c r="B86" s="282" t="s">
        <v>3558</v>
      </c>
      <c r="C86" s="281" t="s">
        <v>4041</v>
      </c>
      <c r="D86" s="272"/>
      <c r="E86" s="272"/>
      <c r="F86" s="272"/>
      <c r="G86" s="272"/>
    </row>
    <row r="87" spans="1:8" ht="16.5" thickBot="1" x14ac:dyDescent="0.3">
      <c r="A87" s="271"/>
      <c r="B87" s="282" t="s">
        <v>3559</v>
      </c>
      <c r="C87" s="281" t="s">
        <v>4042</v>
      </c>
    </row>
    <row r="88" spans="1:8" ht="30" customHeight="1" thickBot="1" x14ac:dyDescent="0.3">
      <c r="A88" s="271">
        <v>18</v>
      </c>
      <c r="B88" s="1105" t="s">
        <v>4044</v>
      </c>
      <c r="C88" s="1105"/>
      <c r="D88" s="1105"/>
      <c r="E88" s="1105"/>
      <c r="F88" s="1105"/>
      <c r="G88" s="1106"/>
      <c r="H88" s="331" t="str">
        <f>B88</f>
        <v>La bolognaise avec des lentilles peut marcher si on garde une bonne sauce tomate.</v>
      </c>
    </row>
    <row r="89" spans="1:8" ht="15.75" x14ac:dyDescent="0.25">
      <c r="A89" s="271"/>
      <c r="B89" s="282" t="s">
        <v>4239</v>
      </c>
      <c r="C89" s="281" t="s">
        <v>4021</v>
      </c>
      <c r="D89" s="272"/>
      <c r="E89" s="272"/>
      <c r="F89" s="272"/>
      <c r="G89" s="272"/>
    </row>
    <row r="90" spans="1:8" ht="15.75" x14ac:dyDescent="0.25">
      <c r="A90" s="271"/>
      <c r="B90" s="282" t="s">
        <v>3557</v>
      </c>
      <c r="C90" s="281" t="s">
        <v>4043</v>
      </c>
      <c r="D90" s="272"/>
      <c r="E90" s="272"/>
      <c r="F90" s="272"/>
      <c r="G90" s="272"/>
    </row>
    <row r="91" spans="1:8" ht="15.75" x14ac:dyDescent="0.25">
      <c r="A91" s="271"/>
      <c r="B91" s="282" t="s">
        <v>3558</v>
      </c>
      <c r="C91" s="281" t="s">
        <v>4045</v>
      </c>
      <c r="D91" s="272"/>
      <c r="E91" s="272"/>
      <c r="F91" s="272"/>
      <c r="G91" s="272"/>
    </row>
    <row r="92" spans="1:8" ht="16.5" thickBot="1" x14ac:dyDescent="0.3">
      <c r="A92" s="271"/>
      <c r="B92" s="282" t="s">
        <v>3559</v>
      </c>
      <c r="C92" s="281" t="s">
        <v>4046</v>
      </c>
    </row>
    <row r="93" spans="1:8" ht="30" customHeight="1" thickBot="1" x14ac:dyDescent="0.3">
      <c r="A93" s="271">
        <v>19</v>
      </c>
      <c r="B93" s="1105" t="s">
        <v>4047</v>
      </c>
      <c r="C93" s="1105"/>
      <c r="D93" s="1105"/>
      <c r="E93" s="1105"/>
      <c r="F93" s="1105"/>
      <c r="G93" s="1106"/>
      <c r="H93" s="331" t="str">
        <f>B93</f>
        <v>La galette végétale se cassait dans l’assiette.</v>
      </c>
    </row>
    <row r="94" spans="1:8" ht="15.75" x14ac:dyDescent="0.25">
      <c r="A94" s="271"/>
      <c r="B94" s="282" t="s">
        <v>4239</v>
      </c>
      <c r="C94" s="281" t="s">
        <v>4021</v>
      </c>
      <c r="D94" s="272"/>
      <c r="E94" s="272"/>
      <c r="F94" s="272"/>
      <c r="G94" s="272"/>
    </row>
    <row r="95" spans="1:8" ht="15.75" x14ac:dyDescent="0.25">
      <c r="A95" s="271"/>
      <c r="B95" s="282" t="s">
        <v>3557</v>
      </c>
      <c r="C95" s="281" t="s">
        <v>979</v>
      </c>
      <c r="D95" s="272"/>
      <c r="E95" s="272"/>
      <c r="F95" s="272"/>
      <c r="G95" s="272"/>
    </row>
    <row r="96" spans="1:8" ht="15.75" x14ac:dyDescent="0.25">
      <c r="A96" s="271"/>
      <c r="B96" s="282" t="s">
        <v>3558</v>
      </c>
      <c r="C96" s="281" t="s">
        <v>4048</v>
      </c>
      <c r="D96" s="272"/>
      <c r="E96" s="272"/>
      <c r="F96" s="272"/>
      <c r="G96" s="272"/>
    </row>
    <row r="97" spans="1:8" ht="16.5" thickBot="1" x14ac:dyDescent="0.3">
      <c r="A97" s="271"/>
      <c r="B97" s="282" t="s">
        <v>3559</v>
      </c>
      <c r="C97" s="281" t="s">
        <v>4049</v>
      </c>
    </row>
    <row r="98" spans="1:8" ht="30" customHeight="1" thickBot="1" x14ac:dyDescent="0.3">
      <c r="A98" s="271">
        <v>20</v>
      </c>
      <c r="B98" s="1105" t="s">
        <v>4050</v>
      </c>
      <c r="C98" s="1105"/>
      <c r="D98" s="1105"/>
      <c r="E98" s="1105"/>
      <c r="F98" s="1105"/>
      <c r="G98" s="1106"/>
      <c r="H98" s="331" t="str">
        <f>B98</f>
        <v>Les lentilles avec du blé ou du riz font un repas plus complet.</v>
      </c>
    </row>
    <row r="99" spans="1:8" ht="15.75" x14ac:dyDescent="0.25">
      <c r="A99" s="271"/>
      <c r="B99" s="282" t="s">
        <v>4239</v>
      </c>
      <c r="C99" s="281" t="s">
        <v>4021</v>
      </c>
      <c r="D99" s="272"/>
      <c r="E99" s="272"/>
      <c r="F99" s="272"/>
      <c r="G99" s="272"/>
    </row>
    <row r="100" spans="1:8" ht="15.75" x14ac:dyDescent="0.25">
      <c r="A100" s="271"/>
      <c r="B100" s="282" t="s">
        <v>3557</v>
      </c>
      <c r="C100" s="281" t="s">
        <v>1534</v>
      </c>
      <c r="D100" s="272"/>
      <c r="E100" s="272"/>
      <c r="F100" s="272"/>
      <c r="G100" s="272"/>
    </row>
    <row r="101" spans="1:8" ht="15.75" x14ac:dyDescent="0.25">
      <c r="A101" s="271"/>
      <c r="B101" s="282" t="s">
        <v>3558</v>
      </c>
      <c r="C101" s="281" t="s">
        <v>4051</v>
      </c>
      <c r="D101" s="272"/>
      <c r="E101" s="272"/>
      <c r="F101" s="272"/>
      <c r="G101" s="272"/>
    </row>
    <row r="102" spans="1:8" ht="16.5" thickBot="1" x14ac:dyDescent="0.3">
      <c r="A102" s="271"/>
      <c r="B102" s="282" t="s">
        <v>3559</v>
      </c>
      <c r="C102" s="281" t="s">
        <v>4052</v>
      </c>
    </row>
    <row r="103" spans="1:8" ht="30" customHeight="1" thickBot="1" x14ac:dyDescent="0.3">
      <c r="A103" s="271">
        <v>21</v>
      </c>
      <c r="B103" s="1105" t="s">
        <v>4053</v>
      </c>
      <c r="C103" s="1105"/>
      <c r="D103" s="1105"/>
      <c r="E103" s="1105"/>
      <c r="F103" s="1105"/>
      <c r="G103" s="1106"/>
      <c r="H103" s="331" t="str">
        <f>B103</f>
        <v>Les haricots blancs étaient bons mais trop secs après le service.</v>
      </c>
    </row>
    <row r="104" spans="1:8" ht="15.75" x14ac:dyDescent="0.25">
      <c r="A104" s="271"/>
      <c r="B104" s="282" t="s">
        <v>4239</v>
      </c>
      <c r="C104" s="281" t="s">
        <v>4021</v>
      </c>
      <c r="D104" s="272"/>
      <c r="E104" s="272"/>
      <c r="F104" s="272"/>
      <c r="G104" s="272"/>
    </row>
    <row r="105" spans="1:8" ht="15.75" x14ac:dyDescent="0.25">
      <c r="A105" s="271"/>
      <c r="B105" s="282" t="s">
        <v>3557</v>
      </c>
      <c r="C105" s="281" t="s">
        <v>4005</v>
      </c>
      <c r="D105" s="272"/>
      <c r="E105" s="272"/>
      <c r="F105" s="272"/>
      <c r="G105" s="272"/>
    </row>
    <row r="106" spans="1:8" ht="15.75" x14ac:dyDescent="0.25">
      <c r="A106" s="271"/>
      <c r="B106" s="282" t="s">
        <v>3558</v>
      </c>
      <c r="C106" s="281" t="s">
        <v>4054</v>
      </c>
      <c r="D106" s="272"/>
      <c r="E106" s="272"/>
      <c r="F106" s="272"/>
      <c r="G106" s="272"/>
    </row>
    <row r="107" spans="1:8" ht="16.5" thickBot="1" x14ac:dyDescent="0.3">
      <c r="A107" s="271"/>
      <c r="B107" s="282" t="s">
        <v>3559</v>
      </c>
      <c r="C107" s="281" t="s">
        <v>4055</v>
      </c>
    </row>
    <row r="108" spans="1:8" ht="30" customHeight="1" thickBot="1" x14ac:dyDescent="0.3">
      <c r="A108" s="271">
        <v>22</v>
      </c>
      <c r="B108" s="1105" t="s">
        <v>4056</v>
      </c>
      <c r="C108" s="1105"/>
      <c r="D108" s="1105"/>
      <c r="E108" s="1105"/>
      <c r="F108" s="1105"/>
      <c r="G108" s="1106"/>
      <c r="H108" s="331" t="str">
        <f>B108</f>
        <v>Le plat végétal était correct, mais il ne donnait pas envie.</v>
      </c>
    </row>
    <row r="109" spans="1:8" ht="15.75" x14ac:dyDescent="0.25">
      <c r="A109" s="271"/>
      <c r="B109" s="282" t="s">
        <v>4239</v>
      </c>
      <c r="C109" s="281" t="s">
        <v>4021</v>
      </c>
      <c r="D109" s="272"/>
      <c r="E109" s="272"/>
      <c r="F109" s="272"/>
      <c r="G109" s="272"/>
    </row>
    <row r="110" spans="1:8" ht="15.75" x14ac:dyDescent="0.25">
      <c r="A110" s="271"/>
      <c r="B110" s="282" t="s">
        <v>3557</v>
      </c>
      <c r="C110" s="281" t="s">
        <v>1235</v>
      </c>
      <c r="D110" s="272"/>
      <c r="E110" s="272"/>
      <c r="F110" s="272"/>
      <c r="G110" s="272"/>
    </row>
    <row r="111" spans="1:8" ht="15.75" x14ac:dyDescent="0.25">
      <c r="A111" s="271"/>
      <c r="B111" s="282" t="s">
        <v>3558</v>
      </c>
      <c r="C111" s="281" t="s">
        <v>4057</v>
      </c>
      <c r="D111" s="272"/>
      <c r="E111" s="272"/>
      <c r="F111" s="272"/>
      <c r="G111" s="272"/>
    </row>
    <row r="112" spans="1:8" ht="16.5" thickBot="1" x14ac:dyDescent="0.3">
      <c r="A112" s="271"/>
      <c r="B112" s="282" t="s">
        <v>3559</v>
      </c>
      <c r="C112" s="281" t="s">
        <v>4058</v>
      </c>
    </row>
    <row r="113" spans="1:8" ht="30" customHeight="1" thickBot="1" x14ac:dyDescent="0.3">
      <c r="A113" s="271">
        <v>23</v>
      </c>
      <c r="B113" s="1105" t="s">
        <v>4060</v>
      </c>
      <c r="C113" s="1105"/>
      <c r="D113" s="1105"/>
      <c r="E113" s="1105"/>
      <c r="F113" s="1105"/>
      <c r="G113" s="1106"/>
      <c r="H113" s="331" t="str">
        <f>B113</f>
        <v>La couleur du plat était triste, ça ne donnait pas envie de goûter.</v>
      </c>
    </row>
    <row r="114" spans="1:8" ht="15.75" x14ac:dyDescent="0.25">
      <c r="A114" s="271"/>
      <c r="B114" s="282" t="s">
        <v>4239</v>
      </c>
      <c r="C114" s="281" t="s">
        <v>4021</v>
      </c>
      <c r="D114" s="272"/>
      <c r="E114" s="272"/>
      <c r="F114" s="272"/>
      <c r="G114" s="272"/>
    </row>
    <row r="115" spans="1:8" ht="15.75" x14ac:dyDescent="0.25">
      <c r="A115" s="271"/>
      <c r="B115" s="282" t="s">
        <v>3557</v>
      </c>
      <c r="C115" s="281" t="s">
        <v>4059</v>
      </c>
      <c r="D115" s="272"/>
      <c r="E115" s="272"/>
      <c r="F115" s="272"/>
      <c r="G115" s="272"/>
    </row>
    <row r="116" spans="1:8" ht="15.75" x14ac:dyDescent="0.25">
      <c r="A116" s="271"/>
      <c r="B116" s="282" t="s">
        <v>3558</v>
      </c>
      <c r="C116" s="281" t="s">
        <v>4061</v>
      </c>
      <c r="D116" s="272"/>
      <c r="E116" s="272"/>
      <c r="F116" s="272"/>
      <c r="G116" s="272"/>
    </row>
    <row r="117" spans="1:8" ht="16.5" thickBot="1" x14ac:dyDescent="0.3">
      <c r="A117" s="271"/>
      <c r="B117" s="282" t="s">
        <v>3559</v>
      </c>
      <c r="C117" s="281" t="s">
        <v>4062</v>
      </c>
    </row>
    <row r="118" spans="1:8" ht="30" customHeight="1" thickBot="1" x14ac:dyDescent="0.3">
      <c r="A118" s="271">
        <v>24</v>
      </c>
      <c r="B118" s="1105" t="s">
        <v>4063</v>
      </c>
      <c r="C118" s="1105"/>
      <c r="D118" s="1105"/>
      <c r="E118" s="1105"/>
      <c r="F118" s="1105"/>
      <c r="G118" s="1106"/>
      <c r="H118" s="331" t="str">
        <f>B118</f>
        <v>Avec plus d’herbes et un peu d’épices, le plat serait meilleur.</v>
      </c>
    </row>
    <row r="119" spans="1:8" ht="15.75" x14ac:dyDescent="0.25">
      <c r="A119" s="271"/>
      <c r="B119" s="282" t="s">
        <v>4239</v>
      </c>
      <c r="C119" s="281" t="s">
        <v>4021</v>
      </c>
      <c r="D119" s="272"/>
      <c r="E119" s="272"/>
      <c r="F119" s="272"/>
      <c r="G119" s="272"/>
    </row>
    <row r="120" spans="1:8" ht="15.75" x14ac:dyDescent="0.25">
      <c r="A120" s="271"/>
      <c r="B120" s="282" t="s">
        <v>3557</v>
      </c>
      <c r="C120" s="281" t="s">
        <v>966</v>
      </c>
      <c r="D120" s="272"/>
      <c r="E120" s="272"/>
      <c r="F120" s="272"/>
      <c r="G120" s="272"/>
    </row>
    <row r="121" spans="1:8" ht="15.75" x14ac:dyDescent="0.25">
      <c r="A121" s="271"/>
      <c r="B121" s="282" t="s">
        <v>3558</v>
      </c>
      <c r="C121" s="281" t="s">
        <v>4064</v>
      </c>
      <c r="D121" s="272"/>
      <c r="E121" s="272"/>
      <c r="F121" s="272"/>
      <c r="G121" s="272"/>
    </row>
    <row r="122" spans="1:8" ht="16.5" thickBot="1" x14ac:dyDescent="0.3">
      <c r="A122" s="271"/>
      <c r="B122" s="282" t="s">
        <v>3559</v>
      </c>
      <c r="C122" s="281" t="s">
        <v>4065</v>
      </c>
    </row>
    <row r="123" spans="1:8" ht="30" customHeight="1" thickBot="1" x14ac:dyDescent="0.3">
      <c r="A123" s="271">
        <v>25</v>
      </c>
      <c r="B123" s="1105" t="s">
        <v>4067</v>
      </c>
      <c r="C123" s="1105"/>
      <c r="D123" s="1105"/>
      <c r="E123" s="1105"/>
      <c r="F123" s="1105"/>
      <c r="G123" s="1106"/>
      <c r="H123" s="331" t="str">
        <f>B123</f>
        <v>Il ne faut pas juste enlever la viande, il faut faire une vraie recette.</v>
      </c>
    </row>
    <row r="124" spans="1:8" ht="15.75" x14ac:dyDescent="0.25">
      <c r="A124" s="271"/>
      <c r="B124" s="282" t="s">
        <v>4239</v>
      </c>
      <c r="C124" s="281" t="s">
        <v>4021</v>
      </c>
      <c r="D124" s="272"/>
      <c r="E124" s="272"/>
      <c r="F124" s="272"/>
      <c r="G124" s="272"/>
    </row>
    <row r="125" spans="1:8" ht="15.75" x14ac:dyDescent="0.25">
      <c r="A125" s="271"/>
      <c r="B125" s="282" t="s">
        <v>3557</v>
      </c>
      <c r="C125" s="281" t="s">
        <v>4066</v>
      </c>
      <c r="D125" s="272"/>
      <c r="E125" s="272"/>
      <c r="F125" s="272"/>
      <c r="G125" s="272"/>
    </row>
    <row r="126" spans="1:8" ht="15.75" x14ac:dyDescent="0.25">
      <c r="A126" s="271"/>
      <c r="B126" s="282" t="s">
        <v>3558</v>
      </c>
      <c r="C126" s="281" t="s">
        <v>4068</v>
      </c>
      <c r="D126" s="272"/>
      <c r="E126" s="272"/>
      <c r="F126" s="272"/>
      <c r="G126" s="272"/>
    </row>
    <row r="127" spans="1:8" ht="16.5" thickBot="1" x14ac:dyDescent="0.3">
      <c r="A127" s="271"/>
      <c r="B127" s="282" t="s">
        <v>3559</v>
      </c>
      <c r="C127" s="281" t="s">
        <v>4069</v>
      </c>
    </row>
    <row r="128" spans="1:8" ht="30" customHeight="1" thickBot="1" x14ac:dyDescent="0.3">
      <c r="A128" s="271">
        <v>26</v>
      </c>
      <c r="B128" s="1105" t="s">
        <v>4071</v>
      </c>
      <c r="C128" s="1105"/>
      <c r="D128" s="1105"/>
      <c r="E128" s="1105"/>
      <c r="F128" s="1105"/>
      <c r="G128" s="1106"/>
      <c r="H128" s="331" t="str">
        <f>B128</f>
        <v>On ne peut pas mettre des lentilles toutes les semaines, il faut varier.</v>
      </c>
    </row>
    <row r="129" spans="1:8" ht="15.75" x14ac:dyDescent="0.25">
      <c r="A129" s="271"/>
      <c r="B129" s="282" t="s">
        <v>4239</v>
      </c>
      <c r="C129" s="281" t="s">
        <v>4021</v>
      </c>
      <c r="D129" s="272"/>
      <c r="E129" s="272"/>
      <c r="F129" s="272"/>
      <c r="G129" s="272"/>
    </row>
    <row r="130" spans="1:8" ht="15.75" x14ac:dyDescent="0.25">
      <c r="A130" s="271"/>
      <c r="B130" s="282" t="s">
        <v>3557</v>
      </c>
      <c r="C130" s="281" t="s">
        <v>4070</v>
      </c>
      <c r="D130" s="272"/>
      <c r="E130" s="272"/>
      <c r="F130" s="272"/>
      <c r="G130" s="272"/>
    </row>
    <row r="131" spans="1:8" ht="15.75" x14ac:dyDescent="0.25">
      <c r="A131" s="271"/>
      <c r="B131" s="282" t="s">
        <v>3558</v>
      </c>
      <c r="C131" s="281" t="s">
        <v>4072</v>
      </c>
      <c r="D131" s="272"/>
      <c r="E131" s="272"/>
      <c r="F131" s="272"/>
      <c r="G131" s="272"/>
    </row>
    <row r="132" spans="1:8" ht="16.5" thickBot="1" x14ac:dyDescent="0.3">
      <c r="A132" s="271"/>
      <c r="B132" s="282" t="s">
        <v>3559</v>
      </c>
      <c r="C132" s="281" t="s">
        <v>4073</v>
      </c>
    </row>
    <row r="133" spans="1:8" ht="30" customHeight="1" thickBot="1" x14ac:dyDescent="0.3">
      <c r="A133" s="271">
        <v>27</v>
      </c>
      <c r="B133" s="1105" t="s">
        <v>4074</v>
      </c>
      <c r="C133" s="1105"/>
      <c r="D133" s="1105"/>
      <c r="E133" s="1105"/>
      <c r="F133" s="1105"/>
      <c r="G133" s="1106"/>
      <c r="H133" s="331" t="str">
        <f>B133</f>
        <v>Le lupin doit être marqué sur l’affiche si la recette en contient.</v>
      </c>
    </row>
    <row r="134" spans="1:8" ht="15.75" x14ac:dyDescent="0.25">
      <c r="A134" s="271"/>
      <c r="B134" s="282" t="s">
        <v>4239</v>
      </c>
      <c r="C134" s="281" t="s">
        <v>4021</v>
      </c>
      <c r="D134" s="272"/>
      <c r="E134" s="272"/>
      <c r="F134" s="272"/>
      <c r="G134" s="272"/>
    </row>
    <row r="135" spans="1:8" ht="15.75" x14ac:dyDescent="0.25">
      <c r="A135" s="271"/>
      <c r="B135" s="282" t="s">
        <v>3557</v>
      </c>
      <c r="C135" s="281" t="s">
        <v>2205</v>
      </c>
      <c r="D135" s="272"/>
      <c r="E135" s="272"/>
      <c r="F135" s="272"/>
      <c r="G135" s="272"/>
    </row>
    <row r="136" spans="1:8" ht="15.75" x14ac:dyDescent="0.25">
      <c r="A136" s="271"/>
      <c r="B136" s="282" t="s">
        <v>3558</v>
      </c>
      <c r="C136" s="281" t="s">
        <v>4075</v>
      </c>
      <c r="D136" s="272"/>
      <c r="E136" s="272"/>
      <c r="F136" s="272"/>
      <c r="G136" s="272"/>
    </row>
    <row r="137" spans="1:8" ht="16.5" thickBot="1" x14ac:dyDescent="0.3">
      <c r="A137" s="271"/>
      <c r="B137" s="282" t="s">
        <v>3559</v>
      </c>
      <c r="C137" s="281" t="s">
        <v>4076</v>
      </c>
    </row>
    <row r="138" spans="1:8" ht="30" customHeight="1" thickBot="1" x14ac:dyDescent="0.3">
      <c r="A138" s="271">
        <v>28</v>
      </c>
      <c r="B138" s="1105" t="s">
        <v>4077</v>
      </c>
      <c r="C138" s="1105"/>
      <c r="D138" s="1105"/>
      <c r="E138" s="1105"/>
      <c r="F138" s="1105"/>
      <c r="G138" s="1106"/>
      <c r="H138" s="331" t="str">
        <f>B138</f>
        <v>Les lentilles étaient trop cuites, ça faisait une pâte.</v>
      </c>
    </row>
    <row r="139" spans="1:8" ht="15.75" x14ac:dyDescent="0.25">
      <c r="A139" s="271"/>
      <c r="B139" s="282" t="s">
        <v>4239</v>
      </c>
      <c r="C139" s="281" t="s">
        <v>4021</v>
      </c>
      <c r="D139" s="272"/>
      <c r="E139" s="272"/>
      <c r="F139" s="272"/>
      <c r="G139" s="272"/>
    </row>
    <row r="140" spans="1:8" ht="15.75" x14ac:dyDescent="0.25">
      <c r="A140" s="271"/>
      <c r="B140" s="282" t="s">
        <v>3557</v>
      </c>
      <c r="C140" s="281" t="s">
        <v>1977</v>
      </c>
      <c r="D140" s="272"/>
      <c r="E140" s="272"/>
      <c r="F140" s="272"/>
      <c r="G140" s="272"/>
    </row>
    <row r="141" spans="1:8" ht="15.75" x14ac:dyDescent="0.25">
      <c r="A141" s="271"/>
      <c r="B141" s="282" t="s">
        <v>3558</v>
      </c>
      <c r="C141" s="281" t="s">
        <v>4078</v>
      </c>
      <c r="D141" s="272"/>
      <c r="E141" s="272"/>
      <c r="F141" s="272"/>
      <c r="G141" s="272"/>
    </row>
    <row r="142" spans="1:8" ht="16.5" thickBot="1" x14ac:dyDescent="0.3">
      <c r="A142" s="271"/>
      <c r="B142" s="282" t="s">
        <v>3559</v>
      </c>
      <c r="C142" s="281" t="s">
        <v>4079</v>
      </c>
    </row>
    <row r="143" spans="1:8" ht="30" customHeight="1" thickBot="1" x14ac:dyDescent="0.3">
      <c r="A143" s="271">
        <v>29</v>
      </c>
      <c r="B143" s="1105" t="s">
        <v>4080</v>
      </c>
      <c r="C143" s="1105"/>
      <c r="D143" s="1105"/>
      <c r="E143" s="1105"/>
      <c r="F143" s="1105"/>
      <c r="G143" s="1106"/>
      <c r="H143" s="211" t="s">
        <v>3729</v>
      </c>
    </row>
    <row r="144" spans="1:8" ht="15.75" x14ac:dyDescent="0.25">
      <c r="A144" s="271"/>
      <c r="B144" s="282" t="s">
        <v>4239</v>
      </c>
      <c r="C144" s="281" t="s">
        <v>4021</v>
      </c>
      <c r="D144" s="272"/>
      <c r="E144" s="272"/>
      <c r="F144" s="272"/>
      <c r="G144" s="272"/>
    </row>
    <row r="145" spans="1:8" ht="15.75" x14ac:dyDescent="0.25">
      <c r="A145" s="271"/>
      <c r="B145" s="282" t="s">
        <v>3557</v>
      </c>
      <c r="C145" s="281" t="s">
        <v>2840</v>
      </c>
      <c r="D145" s="272"/>
      <c r="E145" s="272"/>
      <c r="F145" s="272"/>
      <c r="G145" s="272"/>
    </row>
    <row r="146" spans="1:8" ht="15.75" x14ac:dyDescent="0.25">
      <c r="A146" s="271"/>
      <c r="B146" s="282" t="s">
        <v>3558</v>
      </c>
      <c r="C146" s="281" t="s">
        <v>4081</v>
      </c>
      <c r="D146" s="272"/>
      <c r="E146" s="272"/>
      <c r="F146" s="272"/>
      <c r="G146" s="272"/>
    </row>
    <row r="147" spans="1:8" ht="16.5" thickBot="1" x14ac:dyDescent="0.3">
      <c r="A147" s="271"/>
      <c r="B147" s="282" t="s">
        <v>3559</v>
      </c>
      <c r="C147" s="281" t="s">
        <v>4082</v>
      </c>
    </row>
    <row r="148" spans="1:8" ht="30" customHeight="1" thickBot="1" x14ac:dyDescent="0.3">
      <c r="A148" s="271">
        <v>30</v>
      </c>
      <c r="B148" s="1105" t="s">
        <v>4083</v>
      </c>
      <c r="C148" s="1105"/>
      <c r="D148" s="1105"/>
      <c r="E148" s="1105"/>
      <c r="F148" s="1105"/>
      <c r="G148" s="1106"/>
      <c r="H148" s="211" t="s">
        <v>3729</v>
      </c>
    </row>
    <row r="149" spans="1:8" ht="15.75" x14ac:dyDescent="0.25">
      <c r="A149" s="271"/>
      <c r="B149" s="282" t="s">
        <v>4239</v>
      </c>
      <c r="C149" s="281" t="s">
        <v>4021</v>
      </c>
      <c r="D149" s="272"/>
      <c r="E149" s="272"/>
      <c r="F149" s="272"/>
      <c r="G149" s="272"/>
    </row>
    <row r="150" spans="1:8" ht="15.75" x14ac:dyDescent="0.25">
      <c r="A150" s="271"/>
      <c r="B150" s="282" t="s">
        <v>3557</v>
      </c>
      <c r="C150" s="281" t="s">
        <v>2982</v>
      </c>
      <c r="D150" s="272"/>
      <c r="E150" s="272"/>
      <c r="F150" s="272"/>
      <c r="G150" s="272"/>
    </row>
    <row r="151" spans="1:8" ht="15.75" x14ac:dyDescent="0.25">
      <c r="A151" s="271"/>
      <c r="B151" s="282" t="s">
        <v>3558</v>
      </c>
      <c r="C151" s="281" t="s">
        <v>4084</v>
      </c>
      <c r="D151" s="272"/>
      <c r="E151" s="272"/>
      <c r="F151" s="272"/>
      <c r="G151" s="272"/>
    </row>
    <row r="152" spans="1:8" ht="16.5" thickBot="1" x14ac:dyDescent="0.3">
      <c r="A152" s="271"/>
      <c r="B152" s="282" t="s">
        <v>3559</v>
      </c>
      <c r="C152" s="281" t="s">
        <v>4085</v>
      </c>
    </row>
    <row r="153" spans="1:8" ht="30" customHeight="1" thickBot="1" x14ac:dyDescent="0.3">
      <c r="A153" s="271">
        <v>31</v>
      </c>
      <c r="B153" s="1105" t="s">
        <v>4088</v>
      </c>
      <c r="C153" s="1105"/>
      <c r="D153" s="1105"/>
      <c r="E153" s="1105"/>
      <c r="F153" s="1105"/>
      <c r="G153" s="1106"/>
      <c r="H153" s="211" t="s">
        <v>3729</v>
      </c>
    </row>
    <row r="154" spans="1:8" ht="15.75" x14ac:dyDescent="0.25">
      <c r="A154" s="271"/>
      <c r="B154" s="282" t="s">
        <v>4239</v>
      </c>
      <c r="C154" s="281" t="s">
        <v>4086</v>
      </c>
      <c r="D154" s="272"/>
      <c r="E154" s="272"/>
      <c r="F154" s="272"/>
      <c r="G154" s="272"/>
    </row>
    <row r="155" spans="1:8" ht="15.75" x14ac:dyDescent="0.25">
      <c r="A155" s="271"/>
      <c r="B155" s="282" t="s">
        <v>3557</v>
      </c>
      <c r="C155" s="281" t="s">
        <v>4087</v>
      </c>
      <c r="D155" s="272"/>
      <c r="E155" s="272"/>
      <c r="F155" s="272"/>
      <c r="G155" s="272"/>
    </row>
    <row r="156" spans="1:8" ht="15.75" x14ac:dyDescent="0.25">
      <c r="A156" s="271"/>
      <c r="B156" s="282" t="s">
        <v>3558</v>
      </c>
      <c r="C156" s="281" t="s">
        <v>4089</v>
      </c>
      <c r="D156" s="272"/>
      <c r="E156" s="272"/>
      <c r="F156" s="272"/>
      <c r="G156" s="272"/>
    </row>
    <row r="157" spans="1:8" ht="16.5" thickBot="1" x14ac:dyDescent="0.3">
      <c r="A157" s="271"/>
      <c r="B157" s="282" t="s">
        <v>3559</v>
      </c>
      <c r="C157" s="281" t="s">
        <v>4090</v>
      </c>
    </row>
    <row r="158" spans="1:8" ht="30" customHeight="1" thickBot="1" x14ac:dyDescent="0.3">
      <c r="A158" s="271">
        <v>32</v>
      </c>
      <c r="B158" s="1105" t="s">
        <v>4091</v>
      </c>
      <c r="C158" s="1105"/>
      <c r="D158" s="1105"/>
      <c r="E158" s="1105"/>
      <c r="F158" s="1105"/>
      <c r="G158" s="1106"/>
      <c r="H158" s="211" t="s">
        <v>3729</v>
      </c>
    </row>
    <row r="159" spans="1:8" ht="15.75" x14ac:dyDescent="0.25">
      <c r="A159" s="271"/>
      <c r="B159" s="282" t="s">
        <v>4239</v>
      </c>
      <c r="C159" s="281" t="s">
        <v>4086</v>
      </c>
      <c r="D159" s="272"/>
      <c r="E159" s="272"/>
      <c r="F159" s="272"/>
      <c r="G159" s="272"/>
    </row>
    <row r="160" spans="1:8" ht="15.75" x14ac:dyDescent="0.25">
      <c r="A160" s="271"/>
      <c r="B160" s="282" t="s">
        <v>3557</v>
      </c>
      <c r="C160" s="281" t="s">
        <v>4087</v>
      </c>
      <c r="D160" s="272"/>
      <c r="E160" s="272"/>
      <c r="F160" s="272"/>
      <c r="G160" s="272"/>
    </row>
    <row r="161" spans="1:8" ht="15.75" x14ac:dyDescent="0.25">
      <c r="A161" s="271"/>
      <c r="B161" s="282" t="s">
        <v>3558</v>
      </c>
      <c r="C161" s="281" t="s">
        <v>4092</v>
      </c>
      <c r="D161" s="272"/>
      <c r="E161" s="272"/>
      <c r="F161" s="272"/>
      <c r="G161" s="272"/>
    </row>
    <row r="162" spans="1:8" ht="16.5" thickBot="1" x14ac:dyDescent="0.3">
      <c r="A162" s="271"/>
      <c r="B162" s="282" t="s">
        <v>3559</v>
      </c>
      <c r="C162" s="281" t="s">
        <v>4093</v>
      </c>
    </row>
    <row r="163" spans="1:8" ht="30" customHeight="1" thickBot="1" x14ac:dyDescent="0.3">
      <c r="A163" s="271">
        <v>33</v>
      </c>
      <c r="B163" s="1105" t="s">
        <v>4094</v>
      </c>
      <c r="C163" s="1105"/>
      <c r="D163" s="1105"/>
      <c r="E163" s="1105"/>
      <c r="F163" s="1105"/>
      <c r="G163" s="1106"/>
      <c r="H163" s="331" t="str">
        <f>B163</f>
        <v>Les lentille etait trop cuite.</v>
      </c>
    </row>
    <row r="164" spans="1:8" ht="15.75" x14ac:dyDescent="0.25">
      <c r="A164" s="271"/>
      <c r="B164" s="282" t="s">
        <v>4239</v>
      </c>
      <c r="C164" s="281" t="s">
        <v>4086</v>
      </c>
      <c r="D164" s="272"/>
      <c r="E164" s="272"/>
      <c r="F164" s="272"/>
      <c r="G164" s="272"/>
    </row>
    <row r="165" spans="1:8" ht="15.75" x14ac:dyDescent="0.25">
      <c r="A165" s="271"/>
      <c r="B165" s="282" t="s">
        <v>3557</v>
      </c>
      <c r="C165" s="281" t="s">
        <v>4087</v>
      </c>
      <c r="D165" s="272"/>
      <c r="E165" s="272"/>
      <c r="F165" s="272"/>
      <c r="G165" s="272"/>
    </row>
    <row r="166" spans="1:8" ht="15.75" x14ac:dyDescent="0.25">
      <c r="A166" s="271"/>
      <c r="B166" s="282" t="s">
        <v>3558</v>
      </c>
      <c r="C166" s="281" t="s">
        <v>4095</v>
      </c>
      <c r="D166" s="272"/>
      <c r="E166" s="272"/>
      <c r="F166" s="272"/>
      <c r="G166" s="272"/>
    </row>
    <row r="167" spans="1:8" ht="16.5" thickBot="1" x14ac:dyDescent="0.3">
      <c r="A167" s="271"/>
      <c r="B167" s="282" t="s">
        <v>3559</v>
      </c>
      <c r="C167" s="281" t="s">
        <v>4096</v>
      </c>
    </row>
    <row r="168" spans="1:8" ht="30" customHeight="1" thickBot="1" x14ac:dyDescent="0.3">
      <c r="A168" s="271">
        <v>34</v>
      </c>
      <c r="B168" s="1105" t="s">
        <v>4097</v>
      </c>
      <c r="C168" s="1105"/>
      <c r="D168" s="1105"/>
      <c r="E168" s="1105"/>
      <c r="F168" s="1105"/>
      <c r="G168" s="1106"/>
      <c r="H168" s="331" t="str">
        <f>B168</f>
        <v>Il faut mètre plus de sauce avec les pois chiche.</v>
      </c>
    </row>
    <row r="169" spans="1:8" ht="15.75" x14ac:dyDescent="0.25">
      <c r="A169" s="271"/>
      <c r="B169" s="282" t="s">
        <v>4239</v>
      </c>
      <c r="C169" s="281" t="s">
        <v>4086</v>
      </c>
      <c r="D169" s="272"/>
      <c r="E169" s="272"/>
      <c r="F169" s="272"/>
      <c r="G169" s="272"/>
    </row>
    <row r="170" spans="1:8" ht="15.75" x14ac:dyDescent="0.25">
      <c r="A170" s="271"/>
      <c r="B170" s="282" t="s">
        <v>3557</v>
      </c>
      <c r="C170" s="281" t="s">
        <v>4087</v>
      </c>
      <c r="D170" s="272"/>
      <c r="E170" s="272"/>
      <c r="F170" s="272"/>
      <c r="G170" s="272"/>
    </row>
    <row r="171" spans="1:8" ht="15.75" x14ac:dyDescent="0.25">
      <c r="A171" s="271"/>
      <c r="B171" s="282" t="s">
        <v>3558</v>
      </c>
      <c r="C171" s="281" t="s">
        <v>4098</v>
      </c>
      <c r="D171" s="272"/>
      <c r="E171" s="272"/>
      <c r="F171" s="272"/>
      <c r="G171" s="272"/>
    </row>
    <row r="172" spans="1:8" ht="16.5" thickBot="1" x14ac:dyDescent="0.3">
      <c r="A172" s="271"/>
      <c r="B172" s="282" t="s">
        <v>3559</v>
      </c>
      <c r="C172" s="281" t="s">
        <v>4099</v>
      </c>
    </row>
    <row r="173" spans="1:8" ht="30" customHeight="1" thickBot="1" x14ac:dyDescent="0.3">
      <c r="A173" s="271">
        <v>35</v>
      </c>
      <c r="B173" s="1105" t="s">
        <v>4100</v>
      </c>
      <c r="C173" s="1105"/>
      <c r="D173" s="1105"/>
      <c r="E173" s="1105"/>
      <c r="F173" s="1105"/>
      <c r="G173" s="1106"/>
      <c r="H173" s="331" t="str">
        <f>B173</f>
        <v>Le plat végétale etait pas expliquer au self.</v>
      </c>
    </row>
    <row r="174" spans="1:8" ht="15.75" x14ac:dyDescent="0.25">
      <c r="A174" s="271"/>
      <c r="B174" s="282" t="s">
        <v>4239</v>
      </c>
      <c r="C174" s="281" t="s">
        <v>4086</v>
      </c>
      <c r="D174" s="272"/>
      <c r="E174" s="272"/>
      <c r="F174" s="272"/>
      <c r="G174" s="272"/>
    </row>
    <row r="175" spans="1:8" ht="15.75" x14ac:dyDescent="0.25">
      <c r="A175" s="271"/>
      <c r="B175" s="282" t="s">
        <v>3557</v>
      </c>
      <c r="C175" s="281" t="s">
        <v>4087</v>
      </c>
      <c r="D175" s="272"/>
      <c r="E175" s="272"/>
      <c r="F175" s="272"/>
      <c r="G175" s="272"/>
    </row>
    <row r="176" spans="1:8" ht="15.75" x14ac:dyDescent="0.25">
      <c r="A176" s="271"/>
      <c r="B176" s="282" t="s">
        <v>3558</v>
      </c>
      <c r="C176" s="281" t="s">
        <v>4101</v>
      </c>
      <c r="D176" s="272"/>
      <c r="E176" s="272"/>
      <c r="F176" s="272"/>
      <c r="G176" s="272"/>
    </row>
    <row r="177" spans="1:8" ht="16.5" thickBot="1" x14ac:dyDescent="0.3">
      <c r="A177" s="271"/>
      <c r="B177" s="282" t="s">
        <v>3559</v>
      </c>
      <c r="C177" s="281" t="s">
        <v>4102</v>
      </c>
    </row>
    <row r="178" spans="1:8" ht="30" customHeight="1" thickBot="1" x14ac:dyDescent="0.3">
      <c r="A178" s="271">
        <v>36</v>
      </c>
      <c r="B178" s="1105" t="s">
        <v>4103</v>
      </c>
      <c r="C178" s="1105"/>
      <c r="D178" s="1105"/>
      <c r="E178" s="1105"/>
      <c r="F178" s="1105"/>
      <c r="G178" s="1106"/>
      <c r="H178" s="331" t="str">
        <f>B178</f>
        <v>Y avait trop de reste dans les assiettes.</v>
      </c>
    </row>
    <row r="179" spans="1:8" ht="15.75" x14ac:dyDescent="0.25">
      <c r="A179" s="271"/>
      <c r="B179" s="282" t="s">
        <v>4239</v>
      </c>
      <c r="C179" s="281" t="s">
        <v>4086</v>
      </c>
      <c r="D179" s="272"/>
      <c r="E179" s="272"/>
      <c r="F179" s="272"/>
      <c r="G179" s="272"/>
    </row>
    <row r="180" spans="1:8" ht="15.75" x14ac:dyDescent="0.25">
      <c r="A180" s="271"/>
      <c r="B180" s="282" t="s">
        <v>3557</v>
      </c>
      <c r="C180" s="281" t="s">
        <v>4087</v>
      </c>
      <c r="D180" s="272"/>
      <c r="E180" s="272"/>
      <c r="F180" s="272"/>
      <c r="G180" s="272"/>
    </row>
    <row r="181" spans="1:8" ht="15.75" x14ac:dyDescent="0.25">
      <c r="A181" s="271"/>
      <c r="B181" s="282" t="s">
        <v>3558</v>
      </c>
      <c r="C181" s="281" t="s">
        <v>4104</v>
      </c>
      <c r="D181" s="272"/>
      <c r="E181" s="272"/>
      <c r="F181" s="272"/>
      <c r="G181" s="272"/>
    </row>
    <row r="182" spans="1:8" ht="16.5" thickBot="1" x14ac:dyDescent="0.3">
      <c r="A182" s="271"/>
      <c r="B182" s="282" t="s">
        <v>3559</v>
      </c>
      <c r="C182" s="281" t="s">
        <v>2845</v>
      </c>
    </row>
    <row r="183" spans="1:8" ht="30" customHeight="1" thickBot="1" x14ac:dyDescent="0.3">
      <c r="A183" s="271">
        <v>37</v>
      </c>
      <c r="B183" s="1105" t="s">
        <v>4105</v>
      </c>
      <c r="C183" s="1105"/>
      <c r="D183" s="1105"/>
      <c r="E183" s="1105"/>
      <c r="F183" s="1105"/>
      <c r="G183" s="1106"/>
      <c r="H183" s="331" t="str">
        <f>B183</f>
        <v>Les haricot rouge était bon mais un peut sec.</v>
      </c>
    </row>
    <row r="184" spans="1:8" ht="15.75" x14ac:dyDescent="0.25">
      <c r="A184" s="271"/>
      <c r="B184" s="282" t="s">
        <v>4239</v>
      </c>
      <c r="C184" s="281" t="s">
        <v>4086</v>
      </c>
      <c r="D184" s="272"/>
      <c r="E184" s="272"/>
      <c r="F184" s="272"/>
      <c r="G184" s="272"/>
    </row>
    <row r="185" spans="1:8" ht="15.75" x14ac:dyDescent="0.25">
      <c r="A185" s="271"/>
      <c r="B185" s="282" t="s">
        <v>3557</v>
      </c>
      <c r="C185" s="281" t="s">
        <v>4087</v>
      </c>
      <c r="D185" s="272"/>
      <c r="E185" s="272"/>
      <c r="F185" s="272"/>
      <c r="G185" s="272"/>
    </row>
    <row r="186" spans="1:8" ht="15.75" x14ac:dyDescent="0.25">
      <c r="A186" s="271"/>
      <c r="B186" s="282" t="s">
        <v>3558</v>
      </c>
      <c r="C186" s="281" t="s">
        <v>4106</v>
      </c>
      <c r="D186" s="272"/>
      <c r="E186" s="272"/>
      <c r="F186" s="272"/>
      <c r="G186" s="272"/>
    </row>
    <row r="187" spans="1:8" ht="16.5" thickBot="1" x14ac:dyDescent="0.3">
      <c r="A187" s="271"/>
      <c r="B187" s="282" t="s">
        <v>3559</v>
      </c>
      <c r="C187" s="281" t="s">
        <v>4107</v>
      </c>
    </row>
    <row r="188" spans="1:8" ht="30" customHeight="1" thickBot="1" x14ac:dyDescent="0.3">
      <c r="A188" s="271">
        <v>38</v>
      </c>
      <c r="B188" s="1105" t="s">
        <v>4108</v>
      </c>
      <c r="C188" s="1105"/>
      <c r="D188" s="1105"/>
      <c r="E188" s="1105"/>
      <c r="F188" s="1105"/>
      <c r="G188" s="1106"/>
      <c r="H188" s="331" t="str">
        <f>B188</f>
        <v>Le seitan ya du gluten donc attention.</v>
      </c>
    </row>
    <row r="189" spans="1:8" ht="15.75" x14ac:dyDescent="0.25">
      <c r="A189" s="271"/>
      <c r="B189" s="282" t="s">
        <v>4239</v>
      </c>
      <c r="C189" s="281" t="s">
        <v>4086</v>
      </c>
      <c r="D189" s="272"/>
      <c r="E189" s="272"/>
      <c r="F189" s="272"/>
      <c r="G189" s="272"/>
    </row>
    <row r="190" spans="1:8" ht="15.75" x14ac:dyDescent="0.25">
      <c r="A190" s="271"/>
      <c r="B190" s="282" t="s">
        <v>3557</v>
      </c>
      <c r="C190" s="281" t="s">
        <v>4087</v>
      </c>
      <c r="D190" s="272"/>
      <c r="E190" s="272"/>
      <c r="F190" s="272"/>
      <c r="G190" s="272"/>
    </row>
    <row r="191" spans="1:8" ht="15.75" x14ac:dyDescent="0.25">
      <c r="A191" s="271"/>
      <c r="B191" s="282" t="s">
        <v>3558</v>
      </c>
      <c r="C191" s="281" t="s">
        <v>4109</v>
      </c>
      <c r="D191" s="272"/>
      <c r="E191" s="272"/>
      <c r="F191" s="272"/>
      <c r="G191" s="272"/>
    </row>
    <row r="192" spans="1:8" ht="16.5" thickBot="1" x14ac:dyDescent="0.3">
      <c r="A192" s="271"/>
      <c r="B192" s="282" t="s">
        <v>3559</v>
      </c>
      <c r="C192" s="281" t="s">
        <v>4110</v>
      </c>
    </row>
    <row r="193" spans="1:8" ht="30" customHeight="1" thickBot="1" x14ac:dyDescent="0.3">
      <c r="A193" s="271">
        <v>39</v>
      </c>
      <c r="B193" s="1105" t="s">
        <v>4111</v>
      </c>
      <c r="C193" s="1105"/>
      <c r="D193" s="1105"/>
      <c r="E193" s="1105"/>
      <c r="F193" s="1105"/>
      <c r="G193" s="1106"/>
      <c r="H193" s="331" t="str">
        <f>B193</f>
        <v>Le soja faut le marqué sur l’affiche.</v>
      </c>
    </row>
    <row r="194" spans="1:8" ht="15.75" x14ac:dyDescent="0.25">
      <c r="A194" s="271"/>
      <c r="B194" s="282" t="s">
        <v>4239</v>
      </c>
      <c r="C194" s="281" t="s">
        <v>4086</v>
      </c>
      <c r="D194" s="272"/>
      <c r="E194" s="272"/>
      <c r="F194" s="272"/>
      <c r="G194" s="272"/>
    </row>
    <row r="195" spans="1:8" ht="15.75" x14ac:dyDescent="0.25">
      <c r="A195" s="271"/>
      <c r="B195" s="282" t="s">
        <v>3557</v>
      </c>
      <c r="C195" s="281" t="s">
        <v>4087</v>
      </c>
      <c r="D195" s="272"/>
      <c r="E195" s="272"/>
      <c r="F195" s="272"/>
      <c r="G195" s="272"/>
    </row>
    <row r="196" spans="1:8" ht="15.75" x14ac:dyDescent="0.25">
      <c r="A196" s="271"/>
      <c r="B196" s="282" t="s">
        <v>3558</v>
      </c>
      <c r="C196" s="281" t="s">
        <v>4112</v>
      </c>
      <c r="D196" s="272"/>
      <c r="E196" s="272"/>
      <c r="F196" s="272"/>
      <c r="G196" s="272"/>
    </row>
    <row r="197" spans="1:8" ht="16.5" thickBot="1" x14ac:dyDescent="0.3">
      <c r="A197" s="271"/>
      <c r="B197" s="282" t="s">
        <v>3559</v>
      </c>
      <c r="C197" s="281" t="s">
        <v>4113</v>
      </c>
    </row>
    <row r="198" spans="1:8" ht="30" customHeight="1" thickBot="1" x14ac:dyDescent="0.3">
      <c r="A198" s="271">
        <v>40</v>
      </c>
      <c r="B198" s="1105" t="s">
        <v>4114</v>
      </c>
      <c r="C198" s="1105"/>
      <c r="D198" s="1105"/>
      <c r="E198" s="1105"/>
      <c r="F198" s="1105"/>
      <c r="G198" s="1106"/>
      <c r="H198" s="331" t="str">
        <f>B198</f>
        <v>Les élèves voulais pas gouter car il savait pas c’était quoi.</v>
      </c>
    </row>
    <row r="199" spans="1:8" ht="15.75" x14ac:dyDescent="0.25">
      <c r="A199" s="271"/>
      <c r="B199" s="282" t="s">
        <v>4239</v>
      </c>
      <c r="C199" s="281" t="s">
        <v>4086</v>
      </c>
      <c r="D199" s="272"/>
      <c r="E199" s="272"/>
      <c r="F199" s="272"/>
      <c r="G199" s="272"/>
    </row>
    <row r="200" spans="1:8" ht="15.75" x14ac:dyDescent="0.25">
      <c r="A200" s="271"/>
      <c r="B200" s="282" t="s">
        <v>3557</v>
      </c>
      <c r="C200" s="281" t="s">
        <v>4087</v>
      </c>
      <c r="D200" s="272"/>
      <c r="E200" s="272"/>
      <c r="F200" s="272"/>
      <c r="G200" s="272"/>
    </row>
    <row r="201" spans="1:8" ht="15.75" x14ac:dyDescent="0.25">
      <c r="A201" s="271"/>
      <c r="B201" s="282" t="s">
        <v>3558</v>
      </c>
      <c r="C201" s="281" t="s">
        <v>4115</v>
      </c>
      <c r="D201" s="272"/>
      <c r="E201" s="272"/>
      <c r="F201" s="272"/>
      <c r="G201" s="272"/>
    </row>
    <row r="202" spans="1:8" ht="16.5" thickBot="1" x14ac:dyDescent="0.3">
      <c r="A202" s="271"/>
      <c r="B202" s="282" t="s">
        <v>3559</v>
      </c>
      <c r="C202" s="281" t="s">
        <v>4116</v>
      </c>
    </row>
    <row r="203" spans="1:8" ht="30" customHeight="1" thickBot="1" x14ac:dyDescent="0.3">
      <c r="A203" s="271">
        <v>41</v>
      </c>
      <c r="B203" s="1105" t="s">
        <v>4118</v>
      </c>
      <c r="C203" s="1105"/>
      <c r="D203" s="1105"/>
      <c r="E203" s="1105"/>
      <c r="F203" s="1105"/>
      <c r="G203" s="1106"/>
      <c r="H203" s="331" t="s">
        <v>3729</v>
      </c>
    </row>
    <row r="204" spans="1:8" ht="15.75" x14ac:dyDescent="0.25">
      <c r="A204" s="271"/>
      <c r="B204" s="282" t="s">
        <v>4239</v>
      </c>
      <c r="C204" s="281" t="s">
        <v>4117</v>
      </c>
      <c r="D204" s="272"/>
      <c r="E204" s="272"/>
      <c r="F204" s="272"/>
      <c r="G204" s="272"/>
    </row>
    <row r="205" spans="1:8" ht="15.75" x14ac:dyDescent="0.25">
      <c r="A205" s="271"/>
      <c r="B205" s="282" t="s">
        <v>3557</v>
      </c>
      <c r="C205" s="281" t="s">
        <v>979</v>
      </c>
      <c r="D205" s="272"/>
      <c r="E205" s="272"/>
      <c r="F205" s="272"/>
      <c r="G205" s="272"/>
    </row>
    <row r="206" spans="1:8" ht="15.75" x14ac:dyDescent="0.25">
      <c r="A206" s="271"/>
      <c r="B206" s="282" t="s">
        <v>3558</v>
      </c>
      <c r="C206" s="281" t="s">
        <v>4119</v>
      </c>
      <c r="D206" s="272"/>
      <c r="E206" s="272"/>
      <c r="F206" s="272"/>
      <c r="G206" s="272"/>
    </row>
    <row r="207" spans="1:8" ht="16.5" thickBot="1" x14ac:dyDescent="0.3">
      <c r="A207" s="271"/>
      <c r="B207" s="282" t="s">
        <v>3559</v>
      </c>
      <c r="C207" s="281" t="s">
        <v>4120</v>
      </c>
    </row>
    <row r="208" spans="1:8" ht="30" customHeight="1" thickBot="1" x14ac:dyDescent="0.3">
      <c r="A208" s="271">
        <v>42</v>
      </c>
      <c r="B208" s="1105" t="s">
        <v>4121</v>
      </c>
      <c r="C208" s="1105"/>
      <c r="D208" s="1105"/>
      <c r="E208" s="1105"/>
      <c r="F208" s="1105"/>
      <c r="G208" s="1106"/>
      <c r="H208" s="331" t="s">
        <v>3729</v>
      </c>
    </row>
    <row r="209" spans="1:8" ht="15.75" x14ac:dyDescent="0.25">
      <c r="A209" s="271"/>
      <c r="B209" s="282" t="s">
        <v>4239</v>
      </c>
      <c r="C209" s="281" t="s">
        <v>4117</v>
      </c>
      <c r="D209" s="272"/>
      <c r="E209" s="272"/>
      <c r="F209" s="272"/>
      <c r="G209" s="272"/>
    </row>
    <row r="210" spans="1:8" ht="15.75" x14ac:dyDescent="0.25">
      <c r="A210" s="271"/>
      <c r="B210" s="282" t="s">
        <v>3557</v>
      </c>
      <c r="C210" s="281" t="s">
        <v>2840</v>
      </c>
      <c r="D210" s="272"/>
      <c r="E210" s="272"/>
      <c r="F210" s="272"/>
      <c r="G210" s="272"/>
    </row>
    <row r="211" spans="1:8" ht="15.75" x14ac:dyDescent="0.25">
      <c r="A211" s="271"/>
      <c r="B211" s="282" t="s">
        <v>3558</v>
      </c>
      <c r="C211" s="281" t="s">
        <v>4122</v>
      </c>
      <c r="D211" s="272"/>
      <c r="E211" s="272"/>
      <c r="F211" s="272"/>
      <c r="G211" s="272"/>
    </row>
    <row r="212" spans="1:8" ht="11.25" customHeight="1" thickBot="1" x14ac:dyDescent="0.3">
      <c r="A212" s="271"/>
      <c r="B212" s="282" t="s">
        <v>3559</v>
      </c>
      <c r="C212" s="281" t="s">
        <v>2909</v>
      </c>
    </row>
    <row r="213" spans="1:8" ht="30" customHeight="1" thickBot="1" x14ac:dyDescent="0.3">
      <c r="A213" s="271">
        <v>43</v>
      </c>
      <c r="B213" s="1105" t="s">
        <v>4123</v>
      </c>
      <c r="C213" s="1105"/>
      <c r="D213" s="1105"/>
      <c r="E213" s="1105"/>
      <c r="F213" s="1105"/>
      <c r="G213" s="1106"/>
      <c r="H213" s="331" t="s">
        <v>3729</v>
      </c>
    </row>
    <row r="214" spans="1:8" ht="15.75" x14ac:dyDescent="0.25">
      <c r="A214" s="271"/>
      <c r="B214" s="282" t="s">
        <v>4239</v>
      </c>
      <c r="C214" s="281" t="s">
        <v>4117</v>
      </c>
      <c r="D214" s="272"/>
      <c r="E214" s="272"/>
      <c r="F214" s="272"/>
      <c r="G214" s="272"/>
    </row>
    <row r="215" spans="1:8" ht="15.75" x14ac:dyDescent="0.25">
      <c r="A215" s="271"/>
      <c r="B215" s="282" t="s">
        <v>3557</v>
      </c>
      <c r="C215" s="281" t="s">
        <v>2845</v>
      </c>
      <c r="D215" s="272"/>
      <c r="E215" s="272"/>
      <c r="F215" s="272"/>
      <c r="G215" s="272"/>
    </row>
    <row r="216" spans="1:8" ht="15.75" x14ac:dyDescent="0.25">
      <c r="A216" s="271"/>
      <c r="B216" s="282" t="s">
        <v>3558</v>
      </c>
      <c r="C216" s="281" t="s">
        <v>3760</v>
      </c>
      <c r="D216" s="272"/>
      <c r="E216" s="272"/>
      <c r="F216" s="272"/>
      <c r="G216" s="272"/>
    </row>
    <row r="217" spans="1:8" ht="16.5" thickBot="1" x14ac:dyDescent="0.3">
      <c r="A217" s="271"/>
      <c r="B217" s="282" t="s">
        <v>3559</v>
      </c>
      <c r="C217" s="281" t="s">
        <v>4124</v>
      </c>
    </row>
    <row r="218" spans="1:8" ht="30" customHeight="1" thickBot="1" x14ac:dyDescent="0.3">
      <c r="A218" s="271">
        <v>44</v>
      </c>
      <c r="B218" s="1105" t="s">
        <v>4125</v>
      </c>
      <c r="C218" s="1105"/>
      <c r="D218" s="1105"/>
      <c r="E218" s="1105"/>
      <c r="F218" s="1105"/>
      <c r="G218" s="1106"/>
      <c r="H218" s="331" t="s">
        <v>3729</v>
      </c>
    </row>
    <row r="219" spans="1:8" ht="15.75" x14ac:dyDescent="0.25">
      <c r="A219" s="271"/>
      <c r="B219" s="282" t="s">
        <v>4239</v>
      </c>
      <c r="C219" s="281" t="s">
        <v>4117</v>
      </c>
      <c r="D219" s="272"/>
      <c r="E219" s="272"/>
      <c r="F219" s="272"/>
      <c r="G219" s="272"/>
    </row>
    <row r="220" spans="1:8" ht="15.75" x14ac:dyDescent="0.25">
      <c r="A220" s="271"/>
      <c r="B220" s="282" t="s">
        <v>3557</v>
      </c>
      <c r="C220" s="281" t="s">
        <v>2205</v>
      </c>
      <c r="D220" s="272"/>
      <c r="E220" s="272"/>
      <c r="F220" s="272"/>
      <c r="G220" s="272"/>
    </row>
    <row r="221" spans="1:8" ht="15.75" x14ac:dyDescent="0.25">
      <c r="A221" s="271"/>
      <c r="B221" s="282" t="s">
        <v>3558</v>
      </c>
      <c r="C221" s="281" t="s">
        <v>4000</v>
      </c>
      <c r="D221" s="272"/>
      <c r="E221" s="272"/>
      <c r="F221" s="272"/>
      <c r="G221" s="272"/>
    </row>
    <row r="222" spans="1:8" ht="16.5" thickBot="1" x14ac:dyDescent="0.3">
      <c r="A222" s="271"/>
      <c r="B222" s="282" t="s">
        <v>3559</v>
      </c>
      <c r="C222" s="281" t="s">
        <v>4126</v>
      </c>
    </row>
    <row r="223" spans="1:8" ht="30" customHeight="1" thickBot="1" x14ac:dyDescent="0.3">
      <c r="A223" s="271">
        <v>45</v>
      </c>
      <c r="B223" s="1105" t="s">
        <v>4127</v>
      </c>
      <c r="C223" s="1105"/>
      <c r="D223" s="1105"/>
      <c r="E223" s="1105"/>
      <c r="F223" s="1105"/>
      <c r="G223" s="1106"/>
      <c r="H223" s="331" t="str">
        <f>B223</f>
        <v>Plat pas expliqué.</v>
      </c>
    </row>
    <row r="224" spans="1:8" ht="15.75" x14ac:dyDescent="0.25">
      <c r="A224" s="271"/>
      <c r="B224" s="282" t="s">
        <v>4239</v>
      </c>
      <c r="C224" s="281" t="s">
        <v>4117</v>
      </c>
      <c r="D224" s="272"/>
      <c r="E224" s="272"/>
      <c r="F224" s="272"/>
      <c r="G224" s="272"/>
    </row>
    <row r="225" spans="1:8" ht="15.75" x14ac:dyDescent="0.25">
      <c r="A225" s="271"/>
      <c r="B225" s="282" t="s">
        <v>3557</v>
      </c>
      <c r="C225" s="281" t="s">
        <v>1566</v>
      </c>
      <c r="D225" s="272"/>
      <c r="E225" s="272"/>
      <c r="F225" s="272"/>
      <c r="G225" s="272"/>
    </row>
    <row r="226" spans="1:8" ht="15.75" x14ac:dyDescent="0.25">
      <c r="A226" s="271"/>
      <c r="B226" s="282" t="s">
        <v>3558</v>
      </c>
      <c r="C226" s="281" t="s">
        <v>4128</v>
      </c>
      <c r="D226" s="272"/>
      <c r="E226" s="272"/>
      <c r="F226" s="272"/>
      <c r="G226" s="272"/>
    </row>
    <row r="227" spans="1:8" ht="16.5" thickBot="1" x14ac:dyDescent="0.3">
      <c r="A227" s="271"/>
      <c r="B227" s="282" t="s">
        <v>3559</v>
      </c>
      <c r="C227" s="281" t="s">
        <v>4129</v>
      </c>
    </row>
    <row r="228" spans="1:8" ht="30" customHeight="1" thickBot="1" x14ac:dyDescent="0.3">
      <c r="A228" s="271">
        <v>46</v>
      </c>
      <c r="B228" s="1105" t="s">
        <v>4130</v>
      </c>
      <c r="C228" s="1105"/>
      <c r="D228" s="1105"/>
      <c r="E228" s="1105"/>
      <c r="F228" s="1105"/>
      <c r="G228" s="1106"/>
      <c r="H228" s="331" t="str">
        <f>B228</f>
        <v>Personne a aimé.</v>
      </c>
    </row>
    <row r="229" spans="1:8" ht="15.75" x14ac:dyDescent="0.25">
      <c r="A229" s="271"/>
      <c r="B229" s="282" t="s">
        <v>4239</v>
      </c>
      <c r="C229" s="281" t="s">
        <v>4117</v>
      </c>
      <c r="D229" s="272"/>
      <c r="E229" s="272"/>
      <c r="F229" s="272"/>
      <c r="G229" s="272"/>
    </row>
    <row r="230" spans="1:8" ht="15.75" x14ac:dyDescent="0.25">
      <c r="A230" s="271"/>
      <c r="B230" s="282" t="s">
        <v>3557</v>
      </c>
      <c r="C230" s="281" t="s">
        <v>1235</v>
      </c>
      <c r="D230" s="272"/>
      <c r="E230" s="272"/>
      <c r="F230" s="272"/>
      <c r="G230" s="272"/>
    </row>
    <row r="231" spans="1:8" ht="15.75" x14ac:dyDescent="0.25">
      <c r="A231" s="271"/>
      <c r="B231" s="282" t="s">
        <v>3558</v>
      </c>
      <c r="C231" s="281" t="s">
        <v>4131</v>
      </c>
      <c r="D231" s="272"/>
      <c r="E231" s="272"/>
      <c r="F231" s="272"/>
      <c r="G231" s="272"/>
    </row>
    <row r="232" spans="1:8" ht="16.5" thickBot="1" x14ac:dyDescent="0.3">
      <c r="A232" s="271"/>
      <c r="B232" s="282" t="s">
        <v>3559</v>
      </c>
      <c r="C232" s="281" t="s">
        <v>4132</v>
      </c>
    </row>
    <row r="233" spans="1:8" ht="30" customHeight="1" thickBot="1" x14ac:dyDescent="0.3">
      <c r="A233" s="271">
        <v>47</v>
      </c>
      <c r="B233" s="1105" t="s">
        <v>4133</v>
      </c>
      <c r="C233" s="1105"/>
      <c r="D233" s="1105"/>
      <c r="E233" s="1105"/>
      <c r="F233" s="1105"/>
      <c r="G233" s="1106"/>
      <c r="H233" s="331" t="str">
        <f>B233</f>
        <v>Trop longtemps au chaud.</v>
      </c>
    </row>
    <row r="234" spans="1:8" ht="15.75" x14ac:dyDescent="0.25">
      <c r="A234" s="271"/>
      <c r="B234" s="282" t="s">
        <v>4239</v>
      </c>
      <c r="C234" s="281" t="s">
        <v>4117</v>
      </c>
      <c r="D234" s="272"/>
      <c r="E234" s="272"/>
      <c r="F234" s="272"/>
      <c r="G234" s="272"/>
    </row>
    <row r="235" spans="1:8" ht="15.75" x14ac:dyDescent="0.25">
      <c r="A235" s="271"/>
      <c r="B235" s="282" t="s">
        <v>3557</v>
      </c>
      <c r="C235" s="281" t="s">
        <v>1977</v>
      </c>
      <c r="D235" s="272"/>
      <c r="E235" s="272"/>
      <c r="F235" s="272"/>
      <c r="G235" s="272"/>
    </row>
    <row r="236" spans="1:8" ht="15.75" x14ac:dyDescent="0.25">
      <c r="A236" s="271"/>
      <c r="B236" s="282" t="s">
        <v>3558</v>
      </c>
      <c r="C236" s="281" t="s">
        <v>4134</v>
      </c>
      <c r="D236" s="272"/>
      <c r="E236" s="272"/>
      <c r="F236" s="272"/>
      <c r="G236" s="272"/>
    </row>
    <row r="237" spans="1:8" ht="16.5" thickBot="1" x14ac:dyDescent="0.3">
      <c r="A237" s="271"/>
      <c r="B237" s="282" t="s">
        <v>3559</v>
      </c>
      <c r="C237" s="281" t="s">
        <v>4135</v>
      </c>
    </row>
    <row r="238" spans="1:8" ht="30" customHeight="1" thickBot="1" x14ac:dyDescent="0.3">
      <c r="A238" s="271">
        <v>48</v>
      </c>
      <c r="B238" s="1105" t="s">
        <v>4136</v>
      </c>
      <c r="C238" s="1105"/>
      <c r="D238" s="1105"/>
      <c r="E238" s="1105"/>
      <c r="F238" s="1105"/>
      <c r="G238" s="1106"/>
      <c r="H238" s="331" t="str">
        <f>B238</f>
        <v>Manque de sauce.</v>
      </c>
    </row>
    <row r="239" spans="1:8" ht="15.75" x14ac:dyDescent="0.25">
      <c r="A239" s="271"/>
      <c r="B239" s="282" t="s">
        <v>4239</v>
      </c>
      <c r="C239" s="281" t="s">
        <v>4117</v>
      </c>
      <c r="D239" s="272"/>
      <c r="E239" s="272"/>
      <c r="F239" s="272"/>
      <c r="G239" s="272"/>
    </row>
    <row r="240" spans="1:8" ht="15.75" x14ac:dyDescent="0.25">
      <c r="A240" s="271"/>
      <c r="B240" s="282" t="s">
        <v>3557</v>
      </c>
      <c r="C240" s="281" t="s">
        <v>4005</v>
      </c>
      <c r="D240" s="272"/>
      <c r="E240" s="272"/>
      <c r="F240" s="272"/>
      <c r="G240" s="272"/>
    </row>
    <row r="241" spans="1:8" ht="15.75" x14ac:dyDescent="0.25">
      <c r="A241" s="271"/>
      <c r="B241" s="282" t="s">
        <v>3558</v>
      </c>
      <c r="C241" s="281" t="s">
        <v>3688</v>
      </c>
      <c r="D241" s="272"/>
      <c r="E241" s="272"/>
      <c r="F241" s="272"/>
      <c r="G241" s="272"/>
    </row>
    <row r="242" spans="1:8" ht="16.5" thickBot="1" x14ac:dyDescent="0.3">
      <c r="A242" s="271"/>
      <c r="B242" s="282" t="s">
        <v>3559</v>
      </c>
      <c r="C242" s="281" t="s">
        <v>4099</v>
      </c>
    </row>
    <row r="243" spans="1:8" ht="30" customHeight="1" thickBot="1" x14ac:dyDescent="0.3">
      <c r="A243" s="271">
        <v>49</v>
      </c>
      <c r="B243" s="1105" t="s">
        <v>4137</v>
      </c>
      <c r="C243" s="1105"/>
      <c r="D243" s="1105"/>
      <c r="E243" s="1105"/>
      <c r="F243" s="1105"/>
      <c r="G243" s="1106"/>
      <c r="H243" s="331" t="str">
        <f>B243</f>
        <v>Trop pâteux.</v>
      </c>
    </row>
    <row r="244" spans="1:8" ht="15.75" x14ac:dyDescent="0.25">
      <c r="A244" s="271"/>
      <c r="B244" s="282" t="s">
        <v>4239</v>
      </c>
      <c r="C244" s="281" t="s">
        <v>4117</v>
      </c>
      <c r="D244" s="272"/>
      <c r="E244" s="272"/>
      <c r="F244" s="272"/>
      <c r="G244" s="272"/>
    </row>
    <row r="245" spans="1:8" ht="15.75" x14ac:dyDescent="0.25">
      <c r="A245" s="271"/>
      <c r="B245" s="282" t="s">
        <v>3557</v>
      </c>
      <c r="C245" s="281" t="s">
        <v>979</v>
      </c>
      <c r="D245" s="272"/>
      <c r="E245" s="272"/>
      <c r="F245" s="272"/>
      <c r="G245" s="272"/>
    </row>
    <row r="246" spans="1:8" ht="15.75" x14ac:dyDescent="0.25">
      <c r="A246" s="271"/>
      <c r="B246" s="282" t="s">
        <v>3558</v>
      </c>
      <c r="C246" s="281" t="s">
        <v>4138</v>
      </c>
      <c r="D246" s="272"/>
      <c r="E246" s="272"/>
      <c r="F246" s="272"/>
      <c r="G246" s="272"/>
    </row>
    <row r="247" spans="1:8" ht="16.5" thickBot="1" x14ac:dyDescent="0.3">
      <c r="A247" s="271"/>
      <c r="B247" s="282" t="s">
        <v>3559</v>
      </c>
      <c r="C247" s="281" t="s">
        <v>4139</v>
      </c>
    </row>
    <row r="248" spans="1:8" ht="30" customHeight="1" thickBot="1" x14ac:dyDescent="0.3">
      <c r="A248" s="271">
        <v>50</v>
      </c>
      <c r="B248" s="1105" t="s">
        <v>4140</v>
      </c>
      <c r="C248" s="1105"/>
      <c r="D248" s="1105"/>
      <c r="E248" s="1105"/>
      <c r="F248" s="1105"/>
      <c r="G248" s="1106"/>
      <c r="H248" s="331" t="str">
        <f>B248</f>
        <v>Pas assez assaisonné.</v>
      </c>
    </row>
    <row r="249" spans="1:8" ht="15.75" x14ac:dyDescent="0.25">
      <c r="A249" s="271"/>
      <c r="B249" s="282" t="s">
        <v>4239</v>
      </c>
      <c r="C249" s="281" t="s">
        <v>4117</v>
      </c>
      <c r="D249" s="272"/>
      <c r="E249" s="272"/>
      <c r="F249" s="272"/>
      <c r="G249" s="272"/>
    </row>
    <row r="250" spans="1:8" ht="15.75" x14ac:dyDescent="0.25">
      <c r="A250" s="271"/>
      <c r="B250" s="282" t="s">
        <v>3557</v>
      </c>
      <c r="C250" s="281" t="s">
        <v>966</v>
      </c>
      <c r="D250" s="272"/>
      <c r="E250" s="272"/>
      <c r="F250" s="272"/>
      <c r="G250" s="272"/>
    </row>
    <row r="251" spans="1:8" ht="15.75" x14ac:dyDescent="0.25">
      <c r="A251" s="271"/>
      <c r="B251" s="282" t="s">
        <v>3558</v>
      </c>
      <c r="C251" s="281" t="s">
        <v>4141</v>
      </c>
      <c r="D251" s="272"/>
      <c r="E251" s="272"/>
      <c r="F251" s="272"/>
      <c r="G251" s="272"/>
    </row>
    <row r="252" spans="1:8" ht="16.5" thickBot="1" x14ac:dyDescent="0.3">
      <c r="A252" s="271"/>
      <c r="B252" s="282" t="s">
        <v>3559</v>
      </c>
      <c r="C252" s="281" t="s">
        <v>4142</v>
      </c>
    </row>
    <row r="253" spans="1:8" ht="30" customHeight="1" thickBot="1" x14ac:dyDescent="0.3">
      <c r="A253" s="271">
        <v>51</v>
      </c>
      <c r="B253" s="1105" t="s">
        <v>4145</v>
      </c>
      <c r="C253" s="1105"/>
      <c r="D253" s="1105"/>
      <c r="E253" s="1105"/>
      <c r="F253" s="1105"/>
      <c r="G253" s="1106"/>
      <c r="H253" s="331" t="str">
        <f>B253</f>
        <v>Le plat aux lentilles était sec, les élèves ont peu mangé et il faudrait ajouter une sauce plus longue.</v>
      </c>
    </row>
    <row r="254" spans="1:8" ht="15.75" x14ac:dyDescent="0.25">
      <c r="A254" s="271"/>
      <c r="B254" s="282" t="s">
        <v>4239</v>
      </c>
      <c r="C254" s="281" t="s">
        <v>4143</v>
      </c>
      <c r="D254" s="272"/>
      <c r="E254" s="272"/>
      <c r="F254" s="272"/>
      <c r="G254" s="272"/>
    </row>
    <row r="255" spans="1:8" ht="15.75" x14ac:dyDescent="0.25">
      <c r="A255" s="271"/>
      <c r="B255" s="282" t="s">
        <v>3557</v>
      </c>
      <c r="C255" s="281" t="s">
        <v>4144</v>
      </c>
      <c r="D255" s="272"/>
      <c r="E255" s="272"/>
      <c r="F255" s="272"/>
      <c r="G255" s="272"/>
    </row>
    <row r="256" spans="1:8" ht="15.75" x14ac:dyDescent="0.25">
      <c r="A256" s="271"/>
      <c r="B256" s="282" t="s">
        <v>3558</v>
      </c>
      <c r="C256" s="281" t="s">
        <v>4146</v>
      </c>
      <c r="D256" s="272"/>
      <c r="E256" s="272"/>
      <c r="F256" s="272"/>
      <c r="G256" s="272"/>
    </row>
    <row r="257" spans="1:8" ht="16.5" thickBot="1" x14ac:dyDescent="0.3">
      <c r="A257" s="271"/>
      <c r="B257" s="282" t="s">
        <v>3559</v>
      </c>
      <c r="C257" s="281" t="s">
        <v>4147</v>
      </c>
    </row>
    <row r="258" spans="1:8" ht="30" customHeight="1" thickBot="1" x14ac:dyDescent="0.3">
      <c r="A258" s="271">
        <v>52</v>
      </c>
      <c r="B258" s="1105" t="s">
        <v>4148</v>
      </c>
      <c r="C258" s="1105"/>
      <c r="D258" s="1105"/>
      <c r="E258" s="1105"/>
      <c r="F258" s="1105"/>
      <c r="G258" s="1106"/>
      <c r="H258" s="331" t="str">
        <f>B258</f>
        <v>Le curry de pois chiches était meilleur que la salade froide parce qu’il y avait plus de sauce et de goût.</v>
      </c>
    </row>
    <row r="259" spans="1:8" ht="15.75" x14ac:dyDescent="0.25">
      <c r="A259" s="271"/>
      <c r="B259" s="282" t="s">
        <v>4239</v>
      </c>
      <c r="C259" s="281" t="s">
        <v>4143</v>
      </c>
      <c r="D259" s="272"/>
      <c r="E259" s="272"/>
      <c r="F259" s="272"/>
      <c r="G259" s="272"/>
    </row>
    <row r="260" spans="1:8" ht="15.75" x14ac:dyDescent="0.25">
      <c r="A260" s="271"/>
      <c r="B260" s="282" t="s">
        <v>3557</v>
      </c>
      <c r="C260" s="281" t="s">
        <v>4144</v>
      </c>
      <c r="D260" s="272"/>
      <c r="E260" s="272"/>
      <c r="F260" s="272"/>
      <c r="G260" s="272"/>
    </row>
    <row r="261" spans="1:8" ht="15.75" x14ac:dyDescent="0.25">
      <c r="A261" s="271"/>
      <c r="B261" s="282" t="s">
        <v>3558</v>
      </c>
      <c r="C261" s="281" t="s">
        <v>4149</v>
      </c>
      <c r="D261" s="272"/>
      <c r="E261" s="272"/>
      <c r="F261" s="272"/>
      <c r="G261" s="272"/>
    </row>
    <row r="262" spans="1:8" ht="16.5" thickBot="1" x14ac:dyDescent="0.3">
      <c r="A262" s="271"/>
      <c r="B262" s="282" t="s">
        <v>3559</v>
      </c>
      <c r="C262" s="281" t="s">
        <v>4150</v>
      </c>
    </row>
    <row r="263" spans="1:8" ht="30" customHeight="1" thickBot="1" x14ac:dyDescent="0.3">
      <c r="A263" s="271">
        <v>53</v>
      </c>
      <c r="B263" s="1105" t="s">
        <v>4151</v>
      </c>
      <c r="C263" s="1105"/>
      <c r="D263" s="1105"/>
      <c r="E263" s="1105"/>
      <c r="F263" s="1105"/>
      <c r="G263" s="1106"/>
      <c r="H263" s="331" t="str">
        <f>B263</f>
        <v>La recette végétale peut marcher si elle ressemble à un plat connu comme chili, couscous ou bolognaise.</v>
      </c>
    </row>
    <row r="264" spans="1:8" ht="15.75" x14ac:dyDescent="0.25">
      <c r="A264" s="271"/>
      <c r="B264" s="282" t="s">
        <v>4239</v>
      </c>
      <c r="C264" s="281" t="s">
        <v>4143</v>
      </c>
      <c r="D264" s="281"/>
      <c r="E264" s="281"/>
      <c r="F264" s="281"/>
      <c r="G264" s="281"/>
      <c r="H264" s="281"/>
    </row>
    <row r="265" spans="1:8" ht="15.75" x14ac:dyDescent="0.25">
      <c r="A265" s="271"/>
      <c r="B265" s="282" t="s">
        <v>3557</v>
      </c>
      <c r="C265" s="281" t="s">
        <v>4144</v>
      </c>
      <c r="D265" s="281"/>
      <c r="E265" s="281"/>
      <c r="F265" s="281"/>
      <c r="G265" s="281"/>
      <c r="H265" s="281"/>
    </row>
    <row r="266" spans="1:8" ht="15.75" x14ac:dyDescent="0.25">
      <c r="A266" s="271"/>
      <c r="B266" s="282" t="s">
        <v>3558</v>
      </c>
      <c r="C266" s="281" t="s">
        <v>4152</v>
      </c>
      <c r="D266" s="281"/>
      <c r="E266" s="281"/>
      <c r="F266" s="281"/>
      <c r="G266" s="281"/>
      <c r="H266" s="281"/>
    </row>
    <row r="267" spans="1:8" ht="16.5" thickBot="1" x14ac:dyDescent="0.3">
      <c r="A267" s="271"/>
      <c r="B267" s="282" t="s">
        <v>3559</v>
      </c>
      <c r="C267" s="281" t="s">
        <v>4153</v>
      </c>
      <c r="D267" s="281"/>
      <c r="E267" s="281"/>
      <c r="F267" s="281"/>
      <c r="G267" s="281"/>
      <c r="H267" s="281"/>
    </row>
    <row r="268" spans="1:8" ht="30" customHeight="1" thickBot="1" x14ac:dyDescent="0.3">
      <c r="A268" s="271">
        <v>54</v>
      </c>
      <c r="B268" s="1105" t="s">
        <v>4154</v>
      </c>
      <c r="C268" s="1105"/>
      <c r="D268" s="1105"/>
      <c r="E268" s="1105"/>
      <c r="F268" s="1105"/>
      <c r="G268" s="1106"/>
      <c r="H268" s="331" t="str">
        <f>B268</f>
        <v>Il faut tester le plat avant de le mettre souvent au menu, sinon on risque d’avoir beaucoup de gaspillage.</v>
      </c>
    </row>
    <row r="269" spans="1:8" ht="15.75" x14ac:dyDescent="0.25">
      <c r="A269" s="271"/>
      <c r="B269" s="282" t="s">
        <v>4239</v>
      </c>
      <c r="C269" s="281" t="s">
        <v>4143</v>
      </c>
      <c r="D269" s="272"/>
      <c r="E269" s="272"/>
      <c r="F269" s="272"/>
      <c r="G269" s="272"/>
    </row>
    <row r="270" spans="1:8" ht="15.75" x14ac:dyDescent="0.25">
      <c r="A270" s="271"/>
      <c r="B270" s="282" t="s">
        <v>3557</v>
      </c>
      <c r="C270" s="281" t="s">
        <v>4144</v>
      </c>
      <c r="D270" s="272"/>
      <c r="E270" s="272"/>
      <c r="F270" s="272"/>
      <c r="G270" s="272"/>
    </row>
    <row r="271" spans="1:8" ht="15.75" x14ac:dyDescent="0.25">
      <c r="A271" s="271"/>
      <c r="B271" s="282" t="s">
        <v>3558</v>
      </c>
      <c r="C271" s="281" t="s">
        <v>4155</v>
      </c>
      <c r="D271" s="272"/>
      <c r="E271" s="272"/>
      <c r="F271" s="272"/>
      <c r="G271" s="272"/>
    </row>
    <row r="272" spans="1:8" ht="16.5" thickBot="1" x14ac:dyDescent="0.3">
      <c r="A272" s="271"/>
      <c r="B272" s="282" t="s">
        <v>3559</v>
      </c>
      <c r="C272" s="281" t="s">
        <v>4156</v>
      </c>
    </row>
    <row r="273" spans="1:8" ht="30" customHeight="1" thickBot="1" x14ac:dyDescent="0.3">
      <c r="A273" s="271">
        <v>55</v>
      </c>
      <c r="B273" s="1105" t="s">
        <v>4157</v>
      </c>
      <c r="C273" s="1105"/>
      <c r="D273" s="1105"/>
      <c r="E273" s="1105"/>
      <c r="F273" s="1105"/>
      <c r="G273" s="1106"/>
      <c r="H273" s="331" t="str">
        <f>B273</f>
        <v>Le coût matière est bas avec les lentilles, mais il faut compter le temps de préparation et les restes.</v>
      </c>
    </row>
    <row r="274" spans="1:8" ht="15.75" x14ac:dyDescent="0.25">
      <c r="A274" s="271"/>
      <c r="B274" s="282" t="s">
        <v>4239</v>
      </c>
      <c r="C274" s="281" t="s">
        <v>4143</v>
      </c>
      <c r="D274" s="272"/>
      <c r="E274" s="272"/>
      <c r="F274" s="272"/>
      <c r="G274" s="272"/>
    </row>
    <row r="275" spans="1:8" ht="15.75" x14ac:dyDescent="0.25">
      <c r="A275" s="271"/>
      <c r="B275" s="282" t="s">
        <v>3557</v>
      </c>
      <c r="C275" s="281" t="s">
        <v>4144</v>
      </c>
      <c r="D275" s="272"/>
      <c r="E275" s="272"/>
      <c r="F275" s="272"/>
      <c r="G275" s="272"/>
    </row>
    <row r="276" spans="1:8" ht="15.75" x14ac:dyDescent="0.25">
      <c r="A276" s="271"/>
      <c r="B276" s="282" t="s">
        <v>3558</v>
      </c>
      <c r="C276" s="281" t="s">
        <v>4158</v>
      </c>
      <c r="D276" s="272"/>
      <c r="E276" s="272"/>
      <c r="F276" s="272"/>
      <c r="G276" s="272"/>
    </row>
    <row r="277" spans="1:8" ht="16.5" thickBot="1" x14ac:dyDescent="0.3">
      <c r="A277" s="271"/>
      <c r="B277" s="282" t="s">
        <v>3559</v>
      </c>
      <c r="C277" s="281" t="s">
        <v>4159</v>
      </c>
    </row>
    <row r="278" spans="1:8" ht="30" customHeight="1" thickBot="1" x14ac:dyDescent="0.3">
      <c r="A278" s="271">
        <v>56</v>
      </c>
      <c r="B278" s="1105" t="s">
        <v>4160</v>
      </c>
      <c r="C278" s="1105"/>
      <c r="D278" s="1105"/>
      <c r="E278" s="1105"/>
      <c r="F278" s="1105"/>
      <c r="G278" s="1106"/>
      <c r="H278" s="331" t="str">
        <f>B278</f>
        <v>Les pois chiches avec semoule et légumes font un plat complet, mais il faut vérifier le gluten dans la semoule.</v>
      </c>
    </row>
    <row r="279" spans="1:8" ht="15.75" x14ac:dyDescent="0.25">
      <c r="A279" s="271"/>
      <c r="B279" s="282" t="s">
        <v>4239</v>
      </c>
      <c r="C279" s="281" t="s">
        <v>4143</v>
      </c>
      <c r="D279" s="272"/>
      <c r="E279" s="272"/>
      <c r="F279" s="272"/>
      <c r="G279" s="272"/>
    </row>
    <row r="280" spans="1:8" ht="15.75" x14ac:dyDescent="0.25">
      <c r="A280" s="271"/>
      <c r="B280" s="282" t="s">
        <v>3557</v>
      </c>
      <c r="C280" s="281" t="s">
        <v>4144</v>
      </c>
      <c r="D280" s="272"/>
      <c r="E280" s="272"/>
      <c r="F280" s="272"/>
      <c r="G280" s="272"/>
    </row>
    <row r="281" spans="1:8" ht="15.75" x14ac:dyDescent="0.25">
      <c r="A281" s="271"/>
      <c r="B281" s="282" t="s">
        <v>3558</v>
      </c>
      <c r="C281" s="281" t="s">
        <v>4161</v>
      </c>
      <c r="D281" s="272"/>
      <c r="E281" s="272"/>
      <c r="F281" s="272"/>
      <c r="G281" s="272"/>
    </row>
    <row r="282" spans="1:8" ht="16.5" thickBot="1" x14ac:dyDescent="0.3">
      <c r="A282" s="271"/>
      <c r="B282" s="282" t="s">
        <v>3559</v>
      </c>
      <c r="C282" s="281" t="s">
        <v>4162</v>
      </c>
    </row>
    <row r="283" spans="1:8" ht="30" customHeight="1" thickBot="1" x14ac:dyDescent="0.3">
      <c r="A283" s="271">
        <v>57</v>
      </c>
      <c r="B283" s="1105" t="s">
        <v>4163</v>
      </c>
      <c r="C283" s="1105"/>
      <c r="D283" s="1105"/>
      <c r="E283" s="1105"/>
      <c r="F283" s="1105"/>
      <c r="G283" s="1106"/>
      <c r="H283" s="331" t="str">
        <f>B283</f>
        <v>Le tofu peut être bon si on le fait mariner et si on le sert avec une sauce bien assaisonnée.</v>
      </c>
    </row>
    <row r="284" spans="1:8" ht="15.75" x14ac:dyDescent="0.25">
      <c r="A284" s="271"/>
      <c r="B284" s="282" t="s">
        <v>4239</v>
      </c>
      <c r="C284" s="281" t="s">
        <v>4143</v>
      </c>
      <c r="D284" s="272"/>
      <c r="E284" s="272"/>
      <c r="F284" s="272"/>
      <c r="G284" s="272"/>
    </row>
    <row r="285" spans="1:8" ht="15.75" x14ac:dyDescent="0.25">
      <c r="A285" s="271"/>
      <c r="B285" s="282" t="s">
        <v>3557</v>
      </c>
      <c r="C285" s="281" t="s">
        <v>4144</v>
      </c>
      <c r="D285" s="272"/>
      <c r="E285" s="272"/>
      <c r="F285" s="272"/>
      <c r="G285" s="272"/>
    </row>
    <row r="286" spans="1:8" ht="15.75" x14ac:dyDescent="0.25">
      <c r="A286" s="271"/>
      <c r="B286" s="282" t="s">
        <v>3558</v>
      </c>
      <c r="C286" s="281" t="s">
        <v>4164</v>
      </c>
      <c r="D286" s="272"/>
      <c r="E286" s="272"/>
      <c r="F286" s="272"/>
      <c r="G286" s="272"/>
    </row>
    <row r="287" spans="1:8" ht="16.5" thickBot="1" x14ac:dyDescent="0.3">
      <c r="A287" s="271"/>
      <c r="B287" s="282" t="s">
        <v>3559</v>
      </c>
      <c r="C287" s="281" t="s">
        <v>4165</v>
      </c>
    </row>
    <row r="288" spans="1:8" ht="30" customHeight="1" thickBot="1" x14ac:dyDescent="0.3">
      <c r="A288" s="271">
        <v>58</v>
      </c>
      <c r="B288" s="1105" t="s">
        <v>4166</v>
      </c>
      <c r="C288" s="1105"/>
      <c r="D288" s="1105"/>
      <c r="E288" s="1105"/>
      <c r="F288" s="1105"/>
      <c r="G288" s="1106"/>
      <c r="H288" s="331" t="str">
        <f>B288</f>
        <v>Le plat végétal ne doit pas être présenté comme une punition, sinon les élèves le refusent avant de goûter.</v>
      </c>
    </row>
    <row r="289" spans="1:8" ht="15.75" x14ac:dyDescent="0.25">
      <c r="A289" s="271"/>
      <c r="B289" s="282" t="s">
        <v>4239</v>
      </c>
      <c r="C289" s="281" t="s">
        <v>4143</v>
      </c>
      <c r="D289" s="272"/>
      <c r="E289" s="272"/>
      <c r="F289" s="272"/>
      <c r="G289" s="272"/>
    </row>
    <row r="290" spans="1:8" ht="15.75" x14ac:dyDescent="0.25">
      <c r="A290" s="271"/>
      <c r="B290" s="282" t="s">
        <v>3557</v>
      </c>
      <c r="C290" s="281" t="s">
        <v>4144</v>
      </c>
      <c r="D290" s="272"/>
      <c r="E290" s="272"/>
      <c r="F290" s="272"/>
      <c r="G290" s="272"/>
    </row>
    <row r="291" spans="1:8" ht="15.75" x14ac:dyDescent="0.25">
      <c r="A291" s="271"/>
      <c r="B291" s="282" t="s">
        <v>3558</v>
      </c>
      <c r="C291" s="281" t="s">
        <v>4167</v>
      </c>
      <c r="D291" s="272"/>
      <c r="E291" s="272"/>
      <c r="F291" s="272"/>
      <c r="G291" s="272"/>
    </row>
    <row r="292" spans="1:8" ht="11.25" customHeight="1" thickBot="1" x14ac:dyDescent="0.3">
      <c r="A292" s="271"/>
      <c r="B292" s="282" t="s">
        <v>3559</v>
      </c>
      <c r="C292" s="281" t="s">
        <v>4168</v>
      </c>
    </row>
    <row r="293" spans="1:8" ht="30" customHeight="1" thickBot="1" x14ac:dyDescent="0.3">
      <c r="A293" s="271">
        <v>59</v>
      </c>
      <c r="B293" s="1105" t="s">
        <v>4169</v>
      </c>
      <c r="C293" s="1105"/>
      <c r="D293" s="1105"/>
      <c r="E293" s="1105"/>
      <c r="F293" s="1105"/>
      <c r="G293" s="1106"/>
      <c r="H293" s="331" t="str">
        <f>B293</f>
        <v>Une portion plus petite au début peut limiter le gaspillage et laisser les élèves en reprendre s’ils aiment.</v>
      </c>
    </row>
    <row r="294" spans="1:8" ht="15.75" x14ac:dyDescent="0.25">
      <c r="A294" s="271"/>
      <c r="B294" s="282" t="s">
        <v>4239</v>
      </c>
      <c r="C294" s="281" t="s">
        <v>4143</v>
      </c>
      <c r="D294" s="272"/>
      <c r="E294" s="272"/>
      <c r="F294" s="272"/>
      <c r="G294" s="272"/>
    </row>
    <row r="295" spans="1:8" ht="15.75" x14ac:dyDescent="0.25">
      <c r="A295" s="271"/>
      <c r="B295" s="282" t="s">
        <v>3557</v>
      </c>
      <c r="C295" s="281" t="s">
        <v>4144</v>
      </c>
      <c r="D295" s="272"/>
      <c r="E295" s="272"/>
      <c r="F295" s="272"/>
      <c r="G295" s="272"/>
    </row>
    <row r="296" spans="1:8" ht="15.75" x14ac:dyDescent="0.25">
      <c r="A296" s="271"/>
      <c r="B296" s="282" t="s">
        <v>3558</v>
      </c>
      <c r="C296" s="281" t="s">
        <v>4170</v>
      </c>
      <c r="D296" s="272"/>
      <c r="E296" s="272"/>
      <c r="F296" s="272"/>
      <c r="G296" s="272"/>
    </row>
    <row r="297" spans="1:8" ht="16.5" thickBot="1" x14ac:dyDescent="0.3">
      <c r="A297" s="271"/>
      <c r="B297" s="282" t="s">
        <v>3559</v>
      </c>
      <c r="C297" s="281" t="s">
        <v>4171</v>
      </c>
    </row>
    <row r="298" spans="1:8" ht="30" customHeight="1" thickBot="1" x14ac:dyDescent="0.3">
      <c r="A298" s="271">
        <v>60</v>
      </c>
      <c r="B298" s="1105" t="s">
        <v>4172</v>
      </c>
      <c r="C298" s="1105"/>
      <c r="D298" s="1105"/>
      <c r="E298" s="1105"/>
      <c r="F298" s="1105"/>
      <c r="G298" s="1106"/>
      <c r="H298" s="331" t="str">
        <f>B298</f>
        <v>Les haricots rouges et le riz peuvent remplacer une partie de la viande si la sauce est bonne.</v>
      </c>
    </row>
    <row r="299" spans="1:8" ht="15.75" x14ac:dyDescent="0.25">
      <c r="A299" s="271"/>
      <c r="B299" s="282" t="s">
        <v>4239</v>
      </c>
      <c r="C299" s="281" t="s">
        <v>4143</v>
      </c>
      <c r="D299" s="272"/>
      <c r="E299" s="272"/>
      <c r="F299" s="272"/>
      <c r="G299" s="272"/>
    </row>
    <row r="300" spans="1:8" ht="15.75" x14ac:dyDescent="0.25">
      <c r="A300" s="271"/>
      <c r="B300" s="282" t="s">
        <v>3557</v>
      </c>
      <c r="C300" s="281" t="s">
        <v>4144</v>
      </c>
      <c r="D300" s="272"/>
      <c r="E300" s="272"/>
      <c r="F300" s="272"/>
      <c r="G300" s="272"/>
    </row>
    <row r="301" spans="1:8" ht="15.75" x14ac:dyDescent="0.25">
      <c r="A301" s="271"/>
      <c r="B301" s="282" t="s">
        <v>3558</v>
      </c>
      <c r="C301" s="281" t="s">
        <v>4173</v>
      </c>
      <c r="D301" s="272"/>
      <c r="E301" s="272"/>
      <c r="F301" s="272"/>
      <c r="G301" s="272"/>
    </row>
    <row r="302" spans="1:8" ht="16.5" thickBot="1" x14ac:dyDescent="0.3">
      <c r="A302" s="271"/>
      <c r="B302" s="282" t="s">
        <v>3559</v>
      </c>
      <c r="C302" s="281" t="s">
        <v>4174</v>
      </c>
    </row>
    <row r="303" spans="1:8" ht="30" customHeight="1" thickBot="1" x14ac:dyDescent="0.3">
      <c r="A303" s="271">
        <v>61</v>
      </c>
      <c r="B303" s="1105" t="s">
        <v>4177</v>
      </c>
      <c r="C303" s="1105"/>
      <c r="D303" s="1105"/>
      <c r="E303" s="1105"/>
      <c r="F303" s="1105"/>
      <c r="G303" s="1106"/>
      <c r="H303" s="331" t="str">
        <f>B303</f>
        <v>Le plat n’était pas bon, même avec la sauce.</v>
      </c>
    </row>
    <row r="304" spans="1:8" ht="15.75" x14ac:dyDescent="0.25">
      <c r="A304" s="271"/>
      <c r="B304" s="282" t="s">
        <v>4239</v>
      </c>
      <c r="C304" s="281" t="s">
        <v>4175</v>
      </c>
      <c r="D304" s="272"/>
      <c r="E304" s="272"/>
      <c r="F304" s="272"/>
      <c r="G304" s="272"/>
    </row>
    <row r="305" spans="1:8" ht="15.75" x14ac:dyDescent="0.25">
      <c r="A305" s="271"/>
      <c r="B305" s="282" t="s">
        <v>3557</v>
      </c>
      <c r="C305" s="281" t="s">
        <v>4176</v>
      </c>
      <c r="D305" s="272"/>
      <c r="E305" s="272"/>
      <c r="F305" s="272"/>
      <c r="G305" s="272"/>
    </row>
    <row r="306" spans="1:8" ht="15.75" x14ac:dyDescent="0.25">
      <c r="A306" s="271"/>
      <c r="B306" s="282" t="s">
        <v>3558</v>
      </c>
      <c r="C306" s="281" t="s">
        <v>4178</v>
      </c>
      <c r="D306" s="272"/>
      <c r="E306" s="272"/>
      <c r="F306" s="272"/>
      <c r="G306" s="272"/>
    </row>
    <row r="307" spans="1:8" ht="16.5" thickBot="1" x14ac:dyDescent="0.3">
      <c r="A307" s="271"/>
      <c r="B307" s="282" t="s">
        <v>3559</v>
      </c>
      <c r="C307" s="281" t="s">
        <v>4179</v>
      </c>
    </row>
    <row r="308" spans="1:8" ht="30" customHeight="1" thickBot="1" x14ac:dyDescent="0.3">
      <c r="A308" s="271">
        <v>62</v>
      </c>
      <c r="B308" s="1105" t="s">
        <v>4180</v>
      </c>
      <c r="C308" s="1105"/>
      <c r="D308" s="1105"/>
      <c r="E308" s="1105"/>
      <c r="F308" s="1105"/>
      <c r="G308" s="1106"/>
      <c r="H308" s="331" t="str">
        <f>B308</f>
        <v>Les élèves n’ont pas aimé le tofu.</v>
      </c>
    </row>
    <row r="309" spans="1:8" ht="15.75" x14ac:dyDescent="0.25">
      <c r="A309" s="271"/>
      <c r="B309" s="282" t="s">
        <v>4239</v>
      </c>
      <c r="C309" s="281" t="s">
        <v>4175</v>
      </c>
      <c r="D309" s="272"/>
      <c r="E309" s="272"/>
      <c r="F309" s="272"/>
      <c r="G309" s="272"/>
    </row>
    <row r="310" spans="1:8" ht="15.75" x14ac:dyDescent="0.25">
      <c r="A310" s="271"/>
      <c r="B310" s="282" t="s">
        <v>3557</v>
      </c>
      <c r="C310" s="281" t="s">
        <v>4176</v>
      </c>
      <c r="D310" s="272"/>
      <c r="E310" s="272"/>
      <c r="F310" s="272"/>
      <c r="G310" s="272"/>
    </row>
    <row r="311" spans="1:8" ht="15.75" x14ac:dyDescent="0.25">
      <c r="A311" s="271"/>
      <c r="B311" s="282" t="s">
        <v>3558</v>
      </c>
      <c r="C311" s="281" t="s">
        <v>4181</v>
      </c>
      <c r="D311" s="272"/>
      <c r="E311" s="272"/>
      <c r="F311" s="272"/>
      <c r="G311" s="272"/>
    </row>
    <row r="312" spans="1:8" ht="16.5" thickBot="1" x14ac:dyDescent="0.3">
      <c r="A312" s="271"/>
      <c r="B312" s="282" t="s">
        <v>3559</v>
      </c>
      <c r="C312" s="281" t="s">
        <v>4182</v>
      </c>
    </row>
    <row r="313" spans="1:8" ht="30" customHeight="1" thickBot="1" x14ac:dyDescent="0.3">
      <c r="A313" s="271">
        <v>63</v>
      </c>
      <c r="B313" s="1105" t="s">
        <v>4183</v>
      </c>
      <c r="C313" s="1105"/>
      <c r="D313" s="1105"/>
      <c r="E313" s="1105"/>
      <c r="F313" s="1105"/>
      <c r="G313" s="1106"/>
      <c r="H313" s="331" t="str">
        <f>B313</f>
        <v>Ce n’était pas assez assaisonné.</v>
      </c>
    </row>
    <row r="314" spans="1:8" ht="15.75" x14ac:dyDescent="0.25">
      <c r="A314" s="271"/>
      <c r="B314" s="282" t="s">
        <v>4239</v>
      </c>
      <c r="C314" s="281" t="s">
        <v>4175</v>
      </c>
      <c r="D314" s="272"/>
      <c r="E314" s="272"/>
      <c r="F314" s="272"/>
      <c r="G314" s="272"/>
    </row>
    <row r="315" spans="1:8" ht="15.75" x14ac:dyDescent="0.25">
      <c r="A315" s="271"/>
      <c r="B315" s="282" t="s">
        <v>3557</v>
      </c>
      <c r="C315" s="281" t="s">
        <v>4176</v>
      </c>
      <c r="D315" s="272"/>
      <c r="E315" s="272"/>
      <c r="F315" s="272"/>
      <c r="G315" s="272"/>
    </row>
    <row r="316" spans="1:8" ht="15.75" x14ac:dyDescent="0.25">
      <c r="A316" s="271"/>
      <c r="B316" s="282" t="s">
        <v>3558</v>
      </c>
      <c r="C316" s="281" t="s">
        <v>4141</v>
      </c>
      <c r="D316" s="272"/>
      <c r="E316" s="272"/>
      <c r="F316" s="272"/>
      <c r="G316" s="272"/>
    </row>
    <row r="317" spans="1:8" ht="16.5" thickBot="1" x14ac:dyDescent="0.3">
      <c r="A317" s="271"/>
      <c r="B317" s="282" t="s">
        <v>3559</v>
      </c>
      <c r="C317" s="281" t="s">
        <v>4184</v>
      </c>
    </row>
    <row r="318" spans="1:8" ht="30" customHeight="1" thickBot="1" x14ac:dyDescent="0.3">
      <c r="A318" s="271">
        <v>64</v>
      </c>
      <c r="B318" s="1105" t="s">
        <v>4185</v>
      </c>
      <c r="C318" s="1105"/>
      <c r="D318" s="1105"/>
      <c r="E318" s="1105"/>
      <c r="F318" s="1105"/>
      <c r="G318" s="1106"/>
      <c r="H318" s="331" t="str">
        <f>B318</f>
        <v>Le plat n’était pas sec, mais il manquait de goût.</v>
      </c>
    </row>
    <row r="319" spans="1:8" ht="15.75" x14ac:dyDescent="0.25">
      <c r="A319" s="271"/>
      <c r="B319" s="282" t="s">
        <v>4239</v>
      </c>
      <c r="C319" s="281" t="s">
        <v>4175</v>
      </c>
      <c r="D319" s="272"/>
      <c r="E319" s="272"/>
      <c r="F319" s="272"/>
      <c r="G319" s="272"/>
    </row>
    <row r="320" spans="1:8" ht="15.75" x14ac:dyDescent="0.25">
      <c r="A320" s="271"/>
      <c r="B320" s="282" t="s">
        <v>3557</v>
      </c>
      <c r="C320" s="281" t="s">
        <v>4176</v>
      </c>
      <c r="D320" s="272"/>
      <c r="E320" s="272"/>
      <c r="F320" s="272"/>
      <c r="G320" s="272"/>
    </row>
    <row r="321" spans="1:8" ht="15.75" x14ac:dyDescent="0.25">
      <c r="A321" s="271"/>
      <c r="B321" s="282" t="s">
        <v>3558</v>
      </c>
      <c r="C321" s="281" t="s">
        <v>4186</v>
      </c>
      <c r="D321" s="272"/>
      <c r="E321" s="272"/>
      <c r="F321" s="272"/>
      <c r="G321" s="272"/>
    </row>
    <row r="322" spans="1:8" ht="16.5" thickBot="1" x14ac:dyDescent="0.3">
      <c r="A322" s="271"/>
      <c r="B322" s="282" t="s">
        <v>3559</v>
      </c>
      <c r="C322" s="281" t="s">
        <v>4187</v>
      </c>
    </row>
    <row r="323" spans="1:8" ht="30" customHeight="1" thickBot="1" x14ac:dyDescent="0.3">
      <c r="A323" s="271">
        <v>65</v>
      </c>
      <c r="B323" s="1105" t="s">
        <v>4188</v>
      </c>
      <c r="C323" s="1105"/>
      <c r="D323" s="1105"/>
      <c r="E323" s="1105"/>
      <c r="F323" s="1105"/>
      <c r="G323" s="1106"/>
      <c r="H323" s="331" t="str">
        <f>B323</f>
        <v>Le chili n’a pas été jeté, les élèves ont bien mangé.</v>
      </c>
    </row>
    <row r="324" spans="1:8" ht="15.75" x14ac:dyDescent="0.25">
      <c r="A324" s="271"/>
      <c r="B324" s="282" t="s">
        <v>4239</v>
      </c>
      <c r="C324" s="281" t="s">
        <v>4175</v>
      </c>
      <c r="D324" s="281"/>
      <c r="E324" s="281"/>
      <c r="F324" s="281"/>
      <c r="G324" s="281"/>
      <c r="H324" s="281"/>
    </row>
    <row r="325" spans="1:8" ht="15.75" x14ac:dyDescent="0.25">
      <c r="A325" s="271"/>
      <c r="B325" s="282" t="s">
        <v>3557</v>
      </c>
      <c r="C325" s="281" t="s">
        <v>4176</v>
      </c>
      <c r="D325" s="272"/>
      <c r="E325" s="272"/>
      <c r="F325" s="272"/>
      <c r="G325" s="272"/>
    </row>
    <row r="326" spans="1:8" ht="15.75" x14ac:dyDescent="0.25">
      <c r="A326" s="271"/>
      <c r="B326" s="282" t="s">
        <v>3558</v>
      </c>
      <c r="C326" s="281" t="s">
        <v>4189</v>
      </c>
      <c r="D326" s="272"/>
      <c r="E326" s="272"/>
      <c r="F326" s="272"/>
      <c r="G326" s="272"/>
    </row>
    <row r="327" spans="1:8" ht="16.5" thickBot="1" x14ac:dyDescent="0.3">
      <c r="A327" s="271"/>
      <c r="B327" s="282" t="s">
        <v>3559</v>
      </c>
      <c r="C327" s="281" t="s">
        <v>4190</v>
      </c>
    </row>
    <row r="328" spans="1:8" ht="30" customHeight="1" thickBot="1" x14ac:dyDescent="0.3">
      <c r="A328" s="271">
        <v>66</v>
      </c>
      <c r="B328" s="1105" t="s">
        <v>4192</v>
      </c>
      <c r="C328" s="1105"/>
      <c r="D328" s="1105"/>
      <c r="E328" s="1105"/>
      <c r="F328" s="1105"/>
      <c r="G328" s="1106"/>
      <c r="H328" s="331" t="str">
        <f>B328</f>
        <v>Les élèves ont bien aimé le curry de lentilles.</v>
      </c>
    </row>
    <row r="329" spans="1:8" ht="15.75" x14ac:dyDescent="0.25">
      <c r="A329" s="271"/>
      <c r="B329" s="282" t="s">
        <v>4239</v>
      </c>
      <c r="C329" s="281" t="s">
        <v>4191</v>
      </c>
      <c r="D329" s="272"/>
      <c r="E329" s="272"/>
      <c r="F329" s="272"/>
      <c r="G329" s="272"/>
    </row>
    <row r="330" spans="1:8" ht="15.75" x14ac:dyDescent="0.25">
      <c r="A330" s="271"/>
      <c r="B330" s="282" t="s">
        <v>3557</v>
      </c>
      <c r="C330" s="281" t="s">
        <v>1235</v>
      </c>
      <c r="D330" s="272"/>
      <c r="E330" s="272"/>
      <c r="F330" s="272"/>
      <c r="G330" s="272"/>
    </row>
    <row r="331" spans="1:8" ht="15.75" x14ac:dyDescent="0.25">
      <c r="A331" s="271"/>
      <c r="B331" s="282" t="s">
        <v>3558</v>
      </c>
      <c r="C331" s="281" t="s">
        <v>4193</v>
      </c>
      <c r="D331" s="272"/>
      <c r="E331" s="272"/>
      <c r="F331" s="272"/>
      <c r="G331" s="272"/>
    </row>
    <row r="332" spans="1:8" ht="16.5" thickBot="1" x14ac:dyDescent="0.3">
      <c r="A332" s="271"/>
      <c r="B332" s="282" t="s">
        <v>3559</v>
      </c>
      <c r="C332" s="281" t="s">
        <v>4190</v>
      </c>
    </row>
    <row r="333" spans="1:8" ht="30" customHeight="1" thickBot="1" x14ac:dyDescent="0.3">
      <c r="A333" s="271">
        <v>67</v>
      </c>
      <c r="B333" s="1105" t="s">
        <v>4194</v>
      </c>
      <c r="C333" s="1105"/>
      <c r="D333" s="1105"/>
      <c r="E333" s="1105"/>
      <c r="F333" s="1105"/>
      <c r="G333" s="1106"/>
      <c r="H333" s="331" t="str">
        <f>B333</f>
        <v>La sauce était bonne et le plat était moins sec.</v>
      </c>
    </row>
    <row r="334" spans="1:8" ht="15.75" x14ac:dyDescent="0.25">
      <c r="A334" s="271"/>
      <c r="B334" s="282" t="s">
        <v>4239</v>
      </c>
      <c r="C334" s="281" t="s">
        <v>4191</v>
      </c>
      <c r="D334" s="272"/>
      <c r="E334" s="272"/>
      <c r="F334" s="272"/>
      <c r="G334" s="272"/>
    </row>
    <row r="335" spans="1:8" ht="15.75" x14ac:dyDescent="0.25">
      <c r="A335" s="271"/>
      <c r="B335" s="282" t="s">
        <v>3557</v>
      </c>
      <c r="C335" s="281" t="s">
        <v>4005</v>
      </c>
      <c r="D335" s="272"/>
      <c r="E335" s="272"/>
      <c r="F335" s="272"/>
      <c r="G335" s="272"/>
    </row>
    <row r="336" spans="1:8" ht="15.75" x14ac:dyDescent="0.25">
      <c r="A336" s="271"/>
      <c r="B336" s="282" t="s">
        <v>3558</v>
      </c>
      <c r="C336" s="281" t="s">
        <v>4195</v>
      </c>
      <c r="D336" s="272"/>
      <c r="E336" s="272"/>
      <c r="F336" s="272"/>
      <c r="G336" s="272"/>
    </row>
    <row r="337" spans="1:8" ht="16.5" thickBot="1" x14ac:dyDescent="0.3">
      <c r="A337" s="271"/>
      <c r="B337" s="282" t="s">
        <v>3559</v>
      </c>
      <c r="C337" s="281" t="s">
        <v>4196</v>
      </c>
    </row>
    <row r="338" spans="1:8" ht="30" customHeight="1" thickBot="1" x14ac:dyDescent="0.3">
      <c r="A338" s="271">
        <v>68</v>
      </c>
      <c r="B338" s="1105" t="s">
        <v>4197</v>
      </c>
      <c r="C338" s="1105"/>
      <c r="D338" s="1105"/>
      <c r="E338" s="1105"/>
      <c r="F338" s="1105"/>
      <c r="G338" s="1106"/>
      <c r="H338" s="331" t="str">
        <f>B338</f>
        <v>Le plat a été bien expliqué au self et les élèves ont goûté.</v>
      </c>
    </row>
    <row r="339" spans="1:8" ht="15.75" x14ac:dyDescent="0.25">
      <c r="A339" s="271"/>
      <c r="B339" s="282" t="s">
        <v>4239</v>
      </c>
      <c r="C339" s="281" t="s">
        <v>4191</v>
      </c>
      <c r="D339" s="272"/>
      <c r="E339" s="272"/>
      <c r="F339" s="272"/>
      <c r="G339" s="272"/>
    </row>
    <row r="340" spans="1:8" ht="15.75" x14ac:dyDescent="0.25">
      <c r="A340" s="271"/>
      <c r="B340" s="282" t="s">
        <v>3557</v>
      </c>
      <c r="C340" s="281" t="s">
        <v>1566</v>
      </c>
      <c r="D340" s="272"/>
      <c r="E340" s="272"/>
      <c r="F340" s="272"/>
      <c r="G340" s="272"/>
    </row>
    <row r="341" spans="1:8" ht="15.75" x14ac:dyDescent="0.25">
      <c r="A341" s="271"/>
      <c r="B341" s="282" t="s">
        <v>3558</v>
      </c>
      <c r="C341" s="281" t="s">
        <v>4198</v>
      </c>
      <c r="D341" s="272"/>
      <c r="E341" s="272"/>
      <c r="F341" s="272"/>
      <c r="G341" s="272"/>
    </row>
    <row r="342" spans="1:8" ht="16.5" thickBot="1" x14ac:dyDescent="0.3">
      <c r="A342" s="271"/>
      <c r="B342" s="282" t="s">
        <v>3559</v>
      </c>
      <c r="C342" s="281" t="s">
        <v>4199</v>
      </c>
    </row>
    <row r="343" spans="1:8" ht="30" customHeight="1" thickBot="1" x14ac:dyDescent="0.3">
      <c r="A343" s="271">
        <v>69</v>
      </c>
      <c r="B343" s="1105" t="s">
        <v>4200</v>
      </c>
      <c r="C343" s="1105"/>
      <c r="D343" s="1105"/>
      <c r="E343" s="1105"/>
      <c r="F343" s="1105"/>
      <c r="G343" s="1106"/>
      <c r="H343" s="331" t="str">
        <f>B343</f>
        <v>On a varié avec pois chiches, lentilles et haricots rouges.</v>
      </c>
    </row>
    <row r="344" spans="1:8" ht="15.75" x14ac:dyDescent="0.25">
      <c r="A344" s="271"/>
      <c r="B344" s="282" t="s">
        <v>4239</v>
      </c>
      <c r="C344" s="281" t="s">
        <v>4191</v>
      </c>
      <c r="D344" s="272"/>
      <c r="E344" s="272"/>
      <c r="F344" s="272"/>
      <c r="G344" s="272"/>
    </row>
    <row r="345" spans="1:8" ht="15.75" x14ac:dyDescent="0.25">
      <c r="A345" s="271"/>
      <c r="B345" s="282" t="s">
        <v>3557</v>
      </c>
      <c r="C345" s="281" t="s">
        <v>4070</v>
      </c>
      <c r="D345" s="272"/>
      <c r="E345" s="272"/>
      <c r="F345" s="272"/>
      <c r="G345" s="272"/>
    </row>
    <row r="346" spans="1:8" ht="15.75" x14ac:dyDescent="0.25">
      <c r="A346" s="271"/>
      <c r="B346" s="282" t="s">
        <v>3558</v>
      </c>
      <c r="C346" s="281" t="s">
        <v>4201</v>
      </c>
      <c r="D346" s="272"/>
      <c r="E346" s="272"/>
      <c r="F346" s="272"/>
      <c r="G346" s="272"/>
    </row>
    <row r="347" spans="1:8" ht="16.5" thickBot="1" x14ac:dyDescent="0.3">
      <c r="A347" s="271"/>
      <c r="B347" s="282" t="s">
        <v>3559</v>
      </c>
      <c r="C347" s="281" t="s">
        <v>4202</v>
      </c>
    </row>
    <row r="348" spans="1:8" ht="30" customHeight="1" thickBot="1" x14ac:dyDescent="0.3">
      <c r="A348" s="271">
        <v>70</v>
      </c>
      <c r="B348" s="1105" t="s">
        <v>4203</v>
      </c>
      <c r="C348" s="1105"/>
      <c r="D348" s="1105"/>
      <c r="E348" s="1105"/>
      <c r="F348" s="1105"/>
      <c r="G348" s="1106"/>
      <c r="H348" s="331" t="str">
        <f>B348</f>
        <v>La bolognaise aux lentilles a bien marché parce que le plat était connu.</v>
      </c>
    </row>
    <row r="349" spans="1:8" ht="15.75" x14ac:dyDescent="0.25">
      <c r="A349" s="271"/>
      <c r="B349" s="282" t="s">
        <v>4239</v>
      </c>
      <c r="C349" s="281" t="s">
        <v>4191</v>
      </c>
      <c r="D349" s="272"/>
      <c r="E349" s="272"/>
      <c r="F349" s="272"/>
      <c r="G349" s="272"/>
    </row>
    <row r="350" spans="1:8" ht="15.75" x14ac:dyDescent="0.25">
      <c r="A350" s="271"/>
      <c r="B350" s="282" t="s">
        <v>3557</v>
      </c>
      <c r="C350" s="281" t="s">
        <v>4043</v>
      </c>
      <c r="D350" s="272"/>
      <c r="E350" s="272"/>
      <c r="F350" s="272"/>
      <c r="G350" s="272"/>
    </row>
    <row r="351" spans="1:8" ht="15.75" x14ac:dyDescent="0.25">
      <c r="A351" s="271"/>
      <c r="B351" s="282" t="s">
        <v>3558</v>
      </c>
      <c r="C351" s="281" t="s">
        <v>4204</v>
      </c>
      <c r="D351" s="272"/>
      <c r="E351" s="272"/>
      <c r="F351" s="272"/>
      <c r="G351" s="272"/>
    </row>
    <row r="352" spans="1:8" ht="16.5" thickBot="1" x14ac:dyDescent="0.3">
      <c r="A352" s="271"/>
      <c r="B352" s="282" t="s">
        <v>3559</v>
      </c>
      <c r="C352" s="281" t="s">
        <v>4205</v>
      </c>
    </row>
    <row r="353" spans="1:8" ht="30" customHeight="1" thickBot="1" x14ac:dyDescent="0.3">
      <c r="A353" s="271">
        <v>71</v>
      </c>
      <c r="B353" s="1105" t="s">
        <v>4207</v>
      </c>
      <c r="C353" s="1105"/>
      <c r="D353" s="1105"/>
      <c r="E353" s="1105"/>
      <c r="F353" s="1105"/>
      <c r="G353" s="1106"/>
      <c r="H353" s="331" t="str">
        <f>B353</f>
        <v>Il faut regarder le prix de la portion, mais aussi ce qui revient dans les assiettes.</v>
      </c>
    </row>
    <row r="354" spans="1:8" ht="15.75" x14ac:dyDescent="0.25">
      <c r="A354" s="271"/>
      <c r="B354" s="282" t="s">
        <v>4239</v>
      </c>
      <c r="C354" s="281" t="s">
        <v>4206</v>
      </c>
      <c r="D354" s="272"/>
      <c r="E354" s="272"/>
      <c r="F354" s="272"/>
      <c r="G354" s="272"/>
    </row>
    <row r="355" spans="1:8" ht="15.75" x14ac:dyDescent="0.25">
      <c r="A355" s="271"/>
      <c r="B355" s="282" t="s">
        <v>3557</v>
      </c>
      <c r="C355" s="281" t="s">
        <v>2215</v>
      </c>
      <c r="D355" s="272"/>
      <c r="E355" s="272"/>
      <c r="F355" s="272"/>
      <c r="G355" s="272"/>
    </row>
    <row r="356" spans="1:8" ht="15.75" x14ac:dyDescent="0.25">
      <c r="A356" s="271"/>
      <c r="B356" s="282" t="s">
        <v>3558</v>
      </c>
      <c r="C356" s="281" t="s">
        <v>4208</v>
      </c>
      <c r="D356" s="272"/>
      <c r="E356" s="272"/>
      <c r="F356" s="272"/>
      <c r="G356" s="272"/>
    </row>
    <row r="357" spans="1:8" ht="16.5" thickBot="1" x14ac:dyDescent="0.3">
      <c r="A357" s="271"/>
      <c r="B357" s="282" t="s">
        <v>3559</v>
      </c>
      <c r="C357" s="281" t="s">
        <v>4209</v>
      </c>
    </row>
    <row r="358" spans="1:8" ht="30" customHeight="1" thickBot="1" x14ac:dyDescent="0.3">
      <c r="A358" s="271">
        <v>72</v>
      </c>
      <c r="B358" s="1105" t="s">
        <v>4211</v>
      </c>
      <c r="C358" s="1105"/>
      <c r="D358" s="1105"/>
      <c r="E358" s="1105"/>
      <c r="F358" s="1105"/>
      <c r="G358" s="1106"/>
      <c r="H358" s="331" t="str">
        <f>B358</f>
        <v>On peut noter les restes pour savoir si la recette plaît vraiment.</v>
      </c>
    </row>
    <row r="359" spans="1:8" ht="15.75" x14ac:dyDescent="0.25">
      <c r="A359" s="271"/>
      <c r="B359" s="282" t="s">
        <v>4239</v>
      </c>
      <c r="C359" s="281" t="s">
        <v>4206</v>
      </c>
      <c r="D359" s="272"/>
      <c r="E359" s="272"/>
      <c r="F359" s="272"/>
      <c r="G359" s="272"/>
    </row>
    <row r="360" spans="1:8" ht="15.75" x14ac:dyDescent="0.25">
      <c r="A360" s="271"/>
      <c r="B360" s="282" t="s">
        <v>3557</v>
      </c>
      <c r="C360" s="281" t="s">
        <v>4210</v>
      </c>
      <c r="D360" s="272"/>
      <c r="E360" s="272"/>
      <c r="F360" s="272"/>
      <c r="G360" s="272"/>
    </row>
    <row r="361" spans="1:8" ht="15.75" x14ac:dyDescent="0.25">
      <c r="A361" s="271"/>
      <c r="B361" s="282" t="s">
        <v>3558</v>
      </c>
      <c r="C361" s="281" t="s">
        <v>4212</v>
      </c>
      <c r="D361" s="272"/>
      <c r="E361" s="272"/>
      <c r="F361" s="272"/>
      <c r="G361" s="272"/>
    </row>
    <row r="362" spans="1:8" ht="16.5" thickBot="1" x14ac:dyDescent="0.3">
      <c r="A362" s="271"/>
      <c r="B362" s="282" t="s">
        <v>3559</v>
      </c>
      <c r="C362" s="281" t="s">
        <v>4213</v>
      </c>
    </row>
    <row r="363" spans="1:8" ht="30" customHeight="1" thickBot="1" x14ac:dyDescent="0.3">
      <c r="A363" s="271">
        <v>73</v>
      </c>
      <c r="B363" s="1105" t="s">
        <v>4214</v>
      </c>
      <c r="C363" s="1105"/>
      <c r="D363" s="1105"/>
      <c r="E363" s="1105"/>
      <c r="F363" s="1105"/>
      <c r="G363" s="1106"/>
      <c r="H363" s="331" t="str">
        <f>B363</f>
        <v>La recette doit tenir au chaud sans devenir sèche.</v>
      </c>
    </row>
    <row r="364" spans="1:8" ht="15.75" x14ac:dyDescent="0.25">
      <c r="A364" s="271"/>
      <c r="B364" s="282" t="s">
        <v>4239</v>
      </c>
      <c r="C364" s="281" t="s">
        <v>4206</v>
      </c>
      <c r="D364" s="272"/>
      <c r="E364" s="272"/>
      <c r="F364" s="272"/>
      <c r="G364" s="272"/>
    </row>
    <row r="365" spans="1:8" ht="15.75" x14ac:dyDescent="0.25">
      <c r="A365" s="271"/>
      <c r="B365" s="282" t="s">
        <v>3557</v>
      </c>
      <c r="C365" s="281" t="s">
        <v>1977</v>
      </c>
      <c r="D365" s="272"/>
      <c r="E365" s="272"/>
      <c r="F365" s="272"/>
      <c r="G365" s="272"/>
    </row>
    <row r="366" spans="1:8" ht="15.75" x14ac:dyDescent="0.25">
      <c r="A366" s="271"/>
      <c r="B366" s="282" t="s">
        <v>3558</v>
      </c>
      <c r="C366" s="281" t="s">
        <v>4215</v>
      </c>
      <c r="D366" s="272"/>
      <c r="E366" s="272"/>
      <c r="F366" s="272"/>
      <c r="G366" s="272"/>
    </row>
    <row r="367" spans="1:8" ht="16.5" thickBot="1" x14ac:dyDescent="0.3">
      <c r="A367" s="271"/>
      <c r="B367" s="282" t="s">
        <v>3559</v>
      </c>
      <c r="C367" s="281" t="s">
        <v>4135</v>
      </c>
    </row>
    <row r="368" spans="1:8" ht="30" customHeight="1" thickBot="1" x14ac:dyDescent="0.3">
      <c r="A368" s="271">
        <v>74</v>
      </c>
      <c r="B368" s="1105" t="s">
        <v>4216</v>
      </c>
      <c r="C368" s="1105"/>
      <c r="D368" s="1105"/>
      <c r="E368" s="1105"/>
      <c r="F368" s="1105"/>
      <c r="G368" s="1106"/>
      <c r="H368" s="331" t="str">
        <f>B368</f>
        <v>Si on change les ingrédients, il faut refaire les allergènes.</v>
      </c>
    </row>
    <row r="369" spans="1:8" ht="15.75" x14ac:dyDescent="0.25">
      <c r="A369" s="271"/>
      <c r="B369" s="282" t="s">
        <v>4239</v>
      </c>
      <c r="C369" s="281" t="s">
        <v>4206</v>
      </c>
      <c r="D369" s="272"/>
      <c r="E369" s="272"/>
      <c r="F369" s="272"/>
      <c r="G369" s="272"/>
    </row>
    <row r="370" spans="1:8" ht="15.75" x14ac:dyDescent="0.25">
      <c r="A370" s="271"/>
      <c r="B370" s="282" t="s">
        <v>3557</v>
      </c>
      <c r="C370" s="281" t="s">
        <v>1016</v>
      </c>
      <c r="D370" s="272"/>
      <c r="E370" s="272"/>
      <c r="F370" s="272"/>
      <c r="G370" s="272"/>
    </row>
    <row r="371" spans="1:8" ht="15.75" x14ac:dyDescent="0.25">
      <c r="A371" s="271"/>
      <c r="B371" s="282" t="s">
        <v>3558</v>
      </c>
      <c r="C371" s="281" t="s">
        <v>4217</v>
      </c>
      <c r="D371" s="272"/>
      <c r="E371" s="272"/>
      <c r="F371" s="272"/>
      <c r="G371" s="272"/>
    </row>
    <row r="372" spans="1:8" ht="16.5" thickBot="1" x14ac:dyDescent="0.3">
      <c r="A372" s="271"/>
      <c r="B372" s="282" t="s">
        <v>3559</v>
      </c>
      <c r="C372" s="281" t="s">
        <v>4218</v>
      </c>
    </row>
    <row r="373" spans="1:8" ht="30" customHeight="1" thickBot="1" x14ac:dyDescent="0.3">
      <c r="A373" s="271">
        <v>75</v>
      </c>
      <c r="B373" s="1105" t="s">
        <v>4220</v>
      </c>
      <c r="C373" s="1105"/>
      <c r="D373" s="1105"/>
      <c r="E373" s="1105"/>
      <c r="F373" s="1105"/>
      <c r="G373" s="1106"/>
      <c r="H373" s="331" t="str">
        <f>B373</f>
        <v>Il faut éviter de mettre deux plats végétaux secs la même semaine.</v>
      </c>
    </row>
    <row r="374" spans="1:8" ht="15.75" x14ac:dyDescent="0.25">
      <c r="A374" s="271"/>
      <c r="B374" s="282" t="s">
        <v>4239</v>
      </c>
      <c r="C374" s="281" t="s">
        <v>4206</v>
      </c>
      <c r="D374" s="272"/>
      <c r="E374" s="272"/>
      <c r="F374" s="272"/>
      <c r="G374" s="272"/>
    </row>
    <row r="375" spans="1:8" ht="15.75" x14ac:dyDescent="0.25">
      <c r="A375" s="271"/>
      <c r="B375" s="282" t="s">
        <v>3557</v>
      </c>
      <c r="C375" s="281" t="s">
        <v>4219</v>
      </c>
      <c r="D375" s="272"/>
      <c r="E375" s="272"/>
      <c r="F375" s="272"/>
      <c r="G375" s="272"/>
    </row>
    <row r="376" spans="1:8" ht="15.75" x14ac:dyDescent="0.25">
      <c r="A376" s="271"/>
      <c r="B376" s="282" t="s">
        <v>3558</v>
      </c>
      <c r="C376" s="281" t="s">
        <v>4221</v>
      </c>
      <c r="D376" s="272"/>
      <c r="E376" s="272"/>
      <c r="F376" s="272"/>
      <c r="G376" s="272"/>
    </row>
    <row r="377" spans="1:8" ht="16.5" thickBot="1" x14ac:dyDescent="0.3">
      <c r="A377" s="271"/>
      <c r="B377" s="282" t="s">
        <v>3559</v>
      </c>
      <c r="C377" s="281" t="s">
        <v>4222</v>
      </c>
    </row>
    <row r="378" spans="1:8" ht="30" customHeight="1" thickBot="1" x14ac:dyDescent="0.3">
      <c r="A378" s="271">
        <v>76</v>
      </c>
      <c r="B378" s="1105" t="s">
        <v>4225</v>
      </c>
      <c r="C378" s="1105"/>
      <c r="D378" s="1105"/>
      <c r="E378" s="1105"/>
      <c r="F378" s="1105"/>
      <c r="G378" s="1106"/>
      <c r="H378" s="331" t="str">
        <f>B378</f>
        <v>Franchement le plat aux pois chiches était pas mauvais mais il manquait un truc.</v>
      </c>
    </row>
    <row r="379" spans="1:8" ht="15.75" x14ac:dyDescent="0.25">
      <c r="A379" s="271"/>
      <c r="B379" s="282" t="s">
        <v>4239</v>
      </c>
      <c r="C379" s="281" t="s">
        <v>4223</v>
      </c>
      <c r="D379" s="272"/>
      <c r="E379" s="272"/>
      <c r="F379" s="272"/>
      <c r="G379" s="272"/>
    </row>
    <row r="380" spans="1:8" ht="15.75" x14ac:dyDescent="0.25">
      <c r="A380" s="271"/>
      <c r="B380" s="282" t="s">
        <v>3557</v>
      </c>
      <c r="C380" s="281" t="s">
        <v>4224</v>
      </c>
      <c r="D380" s="272"/>
      <c r="E380" s="272"/>
      <c r="F380" s="272"/>
      <c r="G380" s="272"/>
    </row>
    <row r="381" spans="1:8" ht="15.75" x14ac:dyDescent="0.25">
      <c r="A381" s="271"/>
      <c r="B381" s="282" t="s">
        <v>3558</v>
      </c>
      <c r="C381" s="281" t="s">
        <v>4226</v>
      </c>
      <c r="D381" s="272"/>
      <c r="E381" s="272"/>
      <c r="F381" s="272"/>
      <c r="G381" s="272"/>
    </row>
    <row r="382" spans="1:8" ht="16.5" thickBot="1" x14ac:dyDescent="0.3">
      <c r="A382" s="271"/>
      <c r="B382" s="282" t="s">
        <v>3559</v>
      </c>
      <c r="C382" s="281" t="s">
        <v>4227</v>
      </c>
    </row>
    <row r="383" spans="1:8" ht="30" customHeight="1" thickBot="1" x14ac:dyDescent="0.3">
      <c r="A383" s="271">
        <v>77</v>
      </c>
      <c r="B383" s="1105" t="s">
        <v>4228</v>
      </c>
      <c r="C383" s="1105"/>
      <c r="D383" s="1105"/>
      <c r="E383" s="1105"/>
      <c r="F383" s="1105"/>
      <c r="G383" s="1106"/>
      <c r="H383" s="331" t="str">
        <f>B383</f>
        <v>Ça passait mieux avec la sauce tomate.</v>
      </c>
    </row>
    <row r="384" spans="1:8" ht="15.75" x14ac:dyDescent="0.25">
      <c r="A384" s="271"/>
      <c r="B384" s="282" t="s">
        <v>4239</v>
      </c>
      <c r="C384" s="281" t="s">
        <v>4223</v>
      </c>
      <c r="D384" s="272"/>
      <c r="E384" s="272"/>
      <c r="F384" s="272"/>
      <c r="G384" s="272"/>
    </row>
    <row r="385" spans="1:8" ht="15.75" x14ac:dyDescent="0.25">
      <c r="A385" s="271"/>
      <c r="B385" s="282" t="s">
        <v>3557</v>
      </c>
      <c r="C385" s="281" t="s">
        <v>4224</v>
      </c>
      <c r="D385" s="272"/>
      <c r="E385" s="272"/>
      <c r="F385" s="272"/>
      <c r="G385" s="272"/>
    </row>
    <row r="386" spans="1:8" ht="15.75" x14ac:dyDescent="0.25">
      <c r="A386" s="271"/>
      <c r="B386" s="282" t="s">
        <v>3558</v>
      </c>
      <c r="C386" s="281" t="s">
        <v>4229</v>
      </c>
      <c r="D386" s="272"/>
      <c r="E386" s="272"/>
      <c r="F386" s="272"/>
      <c r="G386" s="272"/>
    </row>
    <row r="387" spans="1:8" ht="16.5" thickBot="1" x14ac:dyDescent="0.3">
      <c r="A387" s="271"/>
      <c r="B387" s="282" t="s">
        <v>3559</v>
      </c>
      <c r="C387" s="281" t="s">
        <v>4230</v>
      </c>
    </row>
    <row r="388" spans="1:8" ht="30" customHeight="1" thickBot="1" x14ac:dyDescent="0.3">
      <c r="A388" s="271">
        <v>78</v>
      </c>
      <c r="B388" s="1105" t="s">
        <v>4231</v>
      </c>
      <c r="C388" s="1105"/>
      <c r="D388" s="1105"/>
      <c r="E388" s="1105"/>
      <c r="F388" s="1105"/>
      <c r="G388" s="1106"/>
      <c r="H388" s="331" t="str">
        <f>B388</f>
        <v>Le truc au soja, il faut le dire parce que certains peuvent pas en manger.</v>
      </c>
    </row>
    <row r="389" spans="1:8" ht="15.75" x14ac:dyDescent="0.25">
      <c r="A389" s="271"/>
      <c r="B389" s="282" t="s">
        <v>4239</v>
      </c>
      <c r="C389" s="281" t="s">
        <v>4223</v>
      </c>
      <c r="D389" s="272"/>
      <c r="E389" s="272"/>
      <c r="F389" s="272"/>
      <c r="G389" s="272"/>
    </row>
    <row r="390" spans="1:8" ht="15.75" x14ac:dyDescent="0.25">
      <c r="A390" s="271"/>
      <c r="B390" s="282" t="s">
        <v>3557</v>
      </c>
      <c r="C390" s="281" t="s">
        <v>4224</v>
      </c>
      <c r="D390" s="272"/>
      <c r="E390" s="272"/>
      <c r="F390" s="272"/>
      <c r="G390" s="272"/>
    </row>
    <row r="391" spans="1:8" ht="15.75" x14ac:dyDescent="0.25">
      <c r="A391" s="271"/>
      <c r="B391" s="282" t="s">
        <v>3558</v>
      </c>
      <c r="C391" s="281" t="s">
        <v>4232</v>
      </c>
      <c r="D391" s="272"/>
      <c r="E391" s="272"/>
      <c r="F391" s="272"/>
      <c r="G391" s="272"/>
    </row>
    <row r="392" spans="1:8" ht="16.5" thickBot="1" x14ac:dyDescent="0.3">
      <c r="A392" s="271"/>
      <c r="B392" s="282" t="s">
        <v>3559</v>
      </c>
      <c r="C392" s="281" t="s">
        <v>4113</v>
      </c>
    </row>
    <row r="393" spans="1:8" ht="30" customHeight="1" thickBot="1" x14ac:dyDescent="0.3">
      <c r="A393" s="271">
        <v>79</v>
      </c>
      <c r="B393" s="1105" t="s">
        <v>4233</v>
      </c>
      <c r="C393" s="1105"/>
      <c r="D393" s="1105"/>
      <c r="E393" s="1105"/>
      <c r="F393" s="1105"/>
      <c r="G393" s="1106"/>
      <c r="H393" s="331" t="str">
        <f>B393</f>
        <v>Les lentilles toutes seules c’est lourd, avec du riz c’est mieux.</v>
      </c>
    </row>
    <row r="394" spans="1:8" ht="15.75" x14ac:dyDescent="0.25">
      <c r="A394" s="271"/>
      <c r="B394" s="282" t="s">
        <v>4239</v>
      </c>
      <c r="C394" s="281" t="s">
        <v>4223</v>
      </c>
      <c r="D394" s="272"/>
      <c r="E394" s="272"/>
      <c r="F394" s="272"/>
      <c r="G394" s="272"/>
    </row>
    <row r="395" spans="1:8" ht="15.75" x14ac:dyDescent="0.25">
      <c r="A395" s="271"/>
      <c r="B395" s="282" t="s">
        <v>3557</v>
      </c>
      <c r="C395" s="281" t="s">
        <v>4224</v>
      </c>
      <c r="D395" s="272"/>
      <c r="E395" s="272"/>
      <c r="F395" s="272"/>
      <c r="G395" s="272"/>
    </row>
    <row r="396" spans="1:8" ht="15.75" x14ac:dyDescent="0.25">
      <c r="A396" s="271"/>
      <c r="B396" s="282" t="s">
        <v>3558</v>
      </c>
      <c r="C396" s="281" t="s">
        <v>4234</v>
      </c>
      <c r="D396" s="272"/>
      <c r="E396" s="272"/>
      <c r="F396" s="272"/>
      <c r="G396" s="272"/>
    </row>
    <row r="397" spans="1:8" ht="16.5" thickBot="1" x14ac:dyDescent="0.3">
      <c r="A397" s="271"/>
      <c r="B397" s="282" t="s">
        <v>3559</v>
      </c>
      <c r="C397" s="281" t="s">
        <v>4235</v>
      </c>
    </row>
    <row r="398" spans="1:8" ht="30" customHeight="1" thickBot="1" x14ac:dyDescent="0.3">
      <c r="A398" s="271">
        <v>80</v>
      </c>
      <c r="B398" s="1105" t="s">
        <v>4236</v>
      </c>
      <c r="C398" s="1105"/>
      <c r="D398" s="1105"/>
      <c r="E398" s="1105"/>
      <c r="F398" s="1105"/>
      <c r="G398" s="1106"/>
      <c r="H398" s="331" t="str">
        <f>B398</f>
        <v>Au self, si tu dis juste végétal, les élèves prennent pas forcément.</v>
      </c>
    </row>
    <row r="399" spans="1:8" ht="15.75" x14ac:dyDescent="0.25">
      <c r="A399" s="271"/>
      <c r="B399" s="282" t="s">
        <v>4239</v>
      </c>
      <c r="C399" s="281" t="s">
        <v>4223</v>
      </c>
      <c r="D399" s="272"/>
      <c r="E399" s="272"/>
      <c r="F399" s="272"/>
      <c r="G399" s="272"/>
    </row>
    <row r="400" spans="1:8" ht="15.75" x14ac:dyDescent="0.25">
      <c r="A400" s="271"/>
      <c r="B400" s="282" t="s">
        <v>3557</v>
      </c>
      <c r="C400" s="281" t="s">
        <v>4224</v>
      </c>
      <c r="D400" s="272"/>
      <c r="E400" s="272"/>
      <c r="F400" s="272"/>
      <c r="G400" s="272"/>
    </row>
    <row r="401" spans="1:23" ht="15.75" x14ac:dyDescent="0.25">
      <c r="A401" s="271"/>
      <c r="B401" s="282" t="s">
        <v>3558</v>
      </c>
      <c r="C401" s="281" t="s">
        <v>4237</v>
      </c>
      <c r="D401" s="272"/>
      <c r="E401" s="272"/>
      <c r="F401" s="272"/>
      <c r="G401" s="272"/>
    </row>
    <row r="402" spans="1:23" ht="18.75" customHeight="1" x14ac:dyDescent="0.25">
      <c r="A402" s="271"/>
      <c r="B402" s="282" t="s">
        <v>3559</v>
      </c>
      <c r="C402" s="281" t="s">
        <v>4238</v>
      </c>
    </row>
    <row r="405" spans="1:23" ht="30" customHeight="1" thickBot="1" x14ac:dyDescent="0.3">
      <c r="A405" s="269"/>
      <c r="B405" s="817" t="s">
        <v>4405</v>
      </c>
      <c r="C405" s="817"/>
      <c r="D405" s="817"/>
      <c r="E405" s="817"/>
      <c r="F405" s="776"/>
      <c r="G405" s="776"/>
      <c r="H405" s="272"/>
      <c r="I405" s="272"/>
      <c r="J405" s="272"/>
      <c r="K405" s="272"/>
      <c r="L405" s="272"/>
      <c r="M405" s="272"/>
      <c r="N405" s="272"/>
      <c r="O405" s="272"/>
      <c r="P405" s="272"/>
      <c r="Q405" s="272"/>
      <c r="R405" s="272"/>
      <c r="S405" s="272"/>
      <c r="T405" s="272"/>
      <c r="U405" s="272"/>
      <c r="V405" s="272"/>
      <c r="W405" s="272"/>
    </row>
    <row r="406" spans="1:23" ht="61.5" customHeight="1" thickBot="1" x14ac:dyDescent="0.3">
      <c r="A406" s="271">
        <v>81</v>
      </c>
      <c r="B406" s="1102" t="s">
        <v>2225</v>
      </c>
      <c r="C406" s="1102"/>
      <c r="D406" s="1102"/>
      <c r="E406" s="1102"/>
      <c r="F406" s="1102"/>
      <c r="G406" s="1103"/>
      <c r="H406" s="840" t="str">
        <f>B406</f>
        <v>Dans le cadre du plan pluriannuel de diversification des protéines, l’établissement veut introduire progressivement des alternatives végétales sans présenter cela comme une punition ou une opposition aux plats carnés. Le premier test concerne un chili végétal aux haricots rouges, puis un dhal de pois cassés et une sauce bolognaise aux lentilles. Le responsable doit comparer le coût portion, le temps de préparation, le gaspillage et la satisfaction des convives. Le formateur insiste sur la lecture nutritionnelle : la recette doit contenir une vraie source de protéines, une garniture cohérente, une sauce et une texture agréable en bouche. Le seitan est envisagé seulement ponctuellement, avec contrôle obligatoire de l’allergène gluten.</v>
      </c>
      <c r="I406" s="836"/>
      <c r="J406" s="836"/>
      <c r="K406" s="836"/>
      <c r="L406" s="836"/>
      <c r="M406" s="836"/>
      <c r="N406" s="836"/>
      <c r="O406" s="836"/>
      <c r="P406" s="836"/>
      <c r="Q406" s="836"/>
      <c r="R406" s="836"/>
      <c r="S406" s="836"/>
      <c r="T406" s="836"/>
      <c r="U406" s="836"/>
      <c r="V406" s="836"/>
      <c r="W406" s="837"/>
    </row>
    <row r="407" spans="1:23" ht="15.75" x14ac:dyDescent="0.25">
      <c r="A407" s="271"/>
      <c r="B407" s="282" t="s">
        <v>3557</v>
      </c>
      <c r="C407" s="281" t="s">
        <v>3590</v>
      </c>
      <c r="D407" s="272"/>
      <c r="E407" s="272"/>
      <c r="F407" s="272"/>
      <c r="G407" s="272"/>
      <c r="H407" s="272"/>
      <c r="I407" s="272"/>
      <c r="J407" s="272"/>
      <c r="K407" s="272"/>
      <c r="L407" s="272"/>
      <c r="M407" s="272"/>
      <c r="N407" s="272"/>
      <c r="O407" s="272"/>
      <c r="P407" s="272"/>
      <c r="Q407" s="272"/>
      <c r="R407" s="272"/>
      <c r="S407" s="272"/>
      <c r="T407" s="272"/>
      <c r="U407" s="272"/>
      <c r="V407" s="272"/>
      <c r="W407" s="272"/>
    </row>
    <row r="408" spans="1:23" ht="15.75" x14ac:dyDescent="0.25">
      <c r="A408" s="271"/>
      <c r="B408" s="282" t="s">
        <v>3558</v>
      </c>
      <c r="C408" s="281" t="s">
        <v>3591</v>
      </c>
      <c r="D408" s="272"/>
      <c r="E408" s="272"/>
      <c r="F408" s="272"/>
      <c r="G408" s="272"/>
      <c r="H408" s="272"/>
      <c r="I408" s="272"/>
      <c r="J408" s="272"/>
      <c r="K408" s="272"/>
      <c r="L408" s="272"/>
      <c r="M408" s="272"/>
      <c r="N408" s="272"/>
      <c r="O408" s="272"/>
      <c r="P408" s="272"/>
      <c r="Q408" s="272"/>
      <c r="R408" s="272"/>
      <c r="S408" s="272"/>
      <c r="T408" s="272"/>
      <c r="U408" s="272"/>
      <c r="V408" s="272"/>
      <c r="W408" s="272"/>
    </row>
    <row r="409" spans="1:23" ht="15.75" x14ac:dyDescent="0.25">
      <c r="A409" s="271"/>
      <c r="B409" s="282" t="s">
        <v>3559</v>
      </c>
      <c r="C409" s="281" t="s">
        <v>3592</v>
      </c>
      <c r="D409" s="272"/>
      <c r="E409" s="272"/>
      <c r="F409" s="272"/>
      <c r="G409" s="272"/>
      <c r="H409" s="272"/>
      <c r="I409" s="272"/>
      <c r="J409" s="272"/>
      <c r="K409" s="272"/>
      <c r="L409" s="272"/>
      <c r="M409" s="272"/>
      <c r="N409" s="272"/>
      <c r="O409" s="272"/>
      <c r="P409" s="272"/>
      <c r="Q409" s="272"/>
      <c r="R409" s="272"/>
      <c r="S409" s="272"/>
      <c r="T409" s="272"/>
      <c r="U409" s="272"/>
      <c r="V409" s="272"/>
      <c r="W409" s="272"/>
    </row>
    <row r="410" spans="1:23" ht="16.5" thickBot="1" x14ac:dyDescent="0.3">
      <c r="A410" s="271"/>
    </row>
    <row r="411" spans="1:23" ht="61.5" customHeight="1" thickBot="1" x14ac:dyDescent="0.3">
      <c r="A411" s="271">
        <v>82</v>
      </c>
      <c r="B411" s="1102" t="s">
        <v>3554</v>
      </c>
      <c r="C411" s="1102"/>
      <c r="D411" s="1102"/>
      <c r="E411" s="1102"/>
      <c r="F411" s="1102"/>
      <c r="G411" s="1103"/>
      <c r="H411" s="840" t="str">
        <f>B411</f>
        <v>Plan diversification complet : le responsable parle de substitution progressive, d’une alternative, de plusieurs alternatives, d’un plat végétal et d’une version vegetal sans accent ; il cite une légumineuse, des légumineuses, une legumineuse et des legumineuses sans accent.</v>
      </c>
      <c r="I411" s="836"/>
      <c r="J411" s="836"/>
      <c r="K411" s="836"/>
      <c r="L411" s="836"/>
      <c r="M411" s="836"/>
      <c r="N411" s="836"/>
      <c r="O411" s="836"/>
      <c r="P411" s="836"/>
      <c r="Q411" s="836"/>
      <c r="R411" s="836"/>
      <c r="S411" s="836"/>
      <c r="T411" s="836"/>
      <c r="U411" s="836"/>
      <c r="V411" s="836"/>
      <c r="W411" s="837"/>
    </row>
    <row r="412" spans="1:23" ht="15.75" x14ac:dyDescent="0.25">
      <c r="A412" s="271"/>
      <c r="B412" s="282" t="s">
        <v>3557</v>
      </c>
      <c r="C412" s="281" t="s">
        <v>3555</v>
      </c>
      <c r="D412" s="272"/>
      <c r="E412" s="272"/>
      <c r="F412" s="272"/>
      <c r="G412" s="272"/>
      <c r="H412" s="272"/>
      <c r="I412" s="272"/>
      <c r="J412" s="272"/>
      <c r="K412" s="272"/>
      <c r="L412" s="272"/>
      <c r="M412" s="272"/>
      <c r="N412" s="272"/>
      <c r="O412" s="272"/>
      <c r="P412" s="272"/>
      <c r="Q412" s="272"/>
      <c r="R412" s="272"/>
      <c r="S412" s="272"/>
      <c r="T412" s="272"/>
      <c r="U412" s="272"/>
      <c r="V412" s="272"/>
      <c r="W412" s="272"/>
    </row>
    <row r="413" spans="1:23" ht="15.75" x14ac:dyDescent="0.25">
      <c r="A413" s="271"/>
      <c r="B413" s="282" t="s">
        <v>3558</v>
      </c>
      <c r="C413" s="281" t="s">
        <v>2234</v>
      </c>
      <c r="D413" s="272"/>
      <c r="E413" s="272"/>
      <c r="F413" s="272"/>
      <c r="G413" s="272"/>
      <c r="H413" s="272"/>
      <c r="I413" s="272"/>
      <c r="J413" s="272"/>
      <c r="K413" s="272"/>
      <c r="L413" s="272"/>
      <c r="M413" s="272"/>
      <c r="N413" s="272"/>
      <c r="O413" s="272"/>
      <c r="P413" s="272"/>
      <c r="Q413" s="272"/>
      <c r="R413" s="272"/>
      <c r="S413" s="272"/>
      <c r="T413" s="272"/>
      <c r="U413" s="272"/>
      <c r="V413" s="272"/>
      <c r="W413" s="272"/>
    </row>
    <row r="414" spans="1:23" ht="15.75" x14ac:dyDescent="0.25">
      <c r="A414" s="271"/>
      <c r="B414" s="282" t="s">
        <v>3559</v>
      </c>
      <c r="C414" s="281" t="s">
        <v>3556</v>
      </c>
      <c r="D414" s="272"/>
      <c r="E414" s="272"/>
      <c r="F414" s="272"/>
      <c r="G414" s="272"/>
      <c r="H414" s="272"/>
      <c r="I414" s="272"/>
      <c r="J414" s="272"/>
      <c r="K414" s="272"/>
      <c r="L414" s="272"/>
      <c r="M414" s="272"/>
      <c r="N414" s="272"/>
      <c r="O414" s="272"/>
      <c r="P414" s="272"/>
      <c r="Q414" s="272"/>
      <c r="R414" s="272"/>
      <c r="S414" s="272"/>
      <c r="T414" s="272"/>
      <c r="U414" s="272"/>
      <c r="V414" s="272"/>
      <c r="W414" s="272"/>
    </row>
    <row r="415" spans="1:23" ht="16.5" thickBot="1" x14ac:dyDescent="0.3">
      <c r="A415" s="271"/>
      <c r="C415" s="272"/>
      <c r="D415" s="272"/>
      <c r="E415" s="272"/>
      <c r="F415" s="272"/>
      <c r="G415" s="272"/>
      <c r="H415" s="272"/>
      <c r="I415" s="272"/>
      <c r="J415" s="272"/>
      <c r="K415" s="272"/>
      <c r="L415" s="272"/>
      <c r="M415" s="272"/>
      <c r="N415" s="272"/>
      <c r="O415" s="272"/>
      <c r="P415" s="272"/>
      <c r="Q415" s="272"/>
      <c r="R415" s="272"/>
      <c r="S415" s="272"/>
      <c r="T415" s="272"/>
      <c r="U415" s="272"/>
      <c r="V415" s="272"/>
      <c r="W415" s="272"/>
    </row>
    <row r="416" spans="1:23" ht="61.5" customHeight="1" thickBot="1" x14ac:dyDescent="0.3">
      <c r="A416" s="271">
        <v>83</v>
      </c>
      <c r="B416" s="1102" t="s">
        <v>3560</v>
      </c>
      <c r="C416" s="1102"/>
      <c r="D416" s="1102"/>
      <c r="E416" s="1102"/>
      <c r="F416" s="1102"/>
      <c r="G416" s="1103"/>
      <c r="H416" s="840" t="str">
        <f>B416</f>
        <v>Analyse économique : coût portion, cout réel, prix matière, budget annuel et gaspillage doivent être suivis avant de généraliser la recette.</v>
      </c>
      <c r="I416" s="836"/>
      <c r="J416" s="836"/>
      <c r="K416" s="836"/>
      <c r="L416" s="836"/>
      <c r="M416" s="836"/>
      <c r="N416" s="836"/>
      <c r="O416" s="836"/>
      <c r="P416" s="836"/>
      <c r="Q416" s="836"/>
      <c r="R416" s="836"/>
      <c r="S416" s="836"/>
      <c r="T416" s="836"/>
      <c r="U416" s="836"/>
      <c r="V416" s="836"/>
      <c r="W416" s="837"/>
    </row>
    <row r="417" spans="1:23" ht="15.75" x14ac:dyDescent="0.25">
      <c r="A417" s="271"/>
      <c r="B417" s="282" t="s">
        <v>3557</v>
      </c>
      <c r="C417" s="281" t="s">
        <v>3561</v>
      </c>
      <c r="D417" s="272"/>
      <c r="E417" s="272"/>
      <c r="F417" s="272"/>
      <c r="G417" s="272"/>
      <c r="H417" s="272"/>
      <c r="I417" s="272"/>
      <c r="J417" s="272"/>
      <c r="K417" s="272"/>
      <c r="L417" s="272"/>
      <c r="M417" s="272"/>
      <c r="N417" s="272"/>
      <c r="O417" s="272"/>
      <c r="P417" s="272"/>
      <c r="Q417" s="272"/>
      <c r="R417" s="272"/>
      <c r="S417" s="272"/>
      <c r="T417" s="272"/>
      <c r="U417" s="272"/>
      <c r="V417" s="272"/>
      <c r="W417" s="272"/>
    </row>
    <row r="418" spans="1:23" ht="15.75" x14ac:dyDescent="0.25">
      <c r="A418" s="271"/>
      <c r="B418" s="282" t="s">
        <v>3558</v>
      </c>
      <c r="C418" s="281" t="s">
        <v>2251</v>
      </c>
      <c r="D418" s="272"/>
      <c r="E418" s="272"/>
      <c r="F418" s="272"/>
      <c r="G418" s="272"/>
      <c r="H418" s="272"/>
      <c r="I418" s="272"/>
      <c r="J418" s="272"/>
      <c r="K418" s="272"/>
      <c r="L418" s="272"/>
      <c r="M418" s="272"/>
      <c r="N418" s="272"/>
      <c r="O418" s="272"/>
      <c r="P418" s="272"/>
      <c r="Q418" s="272"/>
      <c r="R418" s="272"/>
      <c r="S418" s="272"/>
      <c r="T418" s="272"/>
      <c r="U418" s="272"/>
      <c r="V418" s="272"/>
      <c r="W418" s="272"/>
    </row>
    <row r="419" spans="1:23" ht="15.75" x14ac:dyDescent="0.25">
      <c r="A419" s="271"/>
      <c r="B419" s="282" t="s">
        <v>3559</v>
      </c>
      <c r="C419" s="281" t="s">
        <v>3562</v>
      </c>
      <c r="D419" s="272"/>
      <c r="E419" s="272"/>
      <c r="F419" s="272"/>
      <c r="G419" s="272"/>
      <c r="H419" s="272"/>
      <c r="I419" s="272"/>
      <c r="J419" s="272"/>
      <c r="K419" s="272"/>
      <c r="L419" s="272"/>
      <c r="M419" s="272"/>
      <c r="N419" s="272"/>
      <c r="O419" s="272"/>
      <c r="P419" s="272"/>
      <c r="Q419" s="272"/>
      <c r="R419" s="272"/>
      <c r="S419" s="272"/>
      <c r="T419" s="272"/>
      <c r="U419" s="272"/>
      <c r="V419" s="272"/>
      <c r="W419" s="272"/>
    </row>
    <row r="420" spans="1:23" ht="16.5" thickBot="1" x14ac:dyDescent="0.3">
      <c r="A420" s="271"/>
      <c r="C420" s="272"/>
      <c r="D420" s="272"/>
      <c r="E420" s="272"/>
      <c r="F420" s="272"/>
      <c r="G420" s="272"/>
      <c r="H420" s="272"/>
      <c r="I420" s="272"/>
      <c r="J420" s="272"/>
      <c r="K420" s="272"/>
      <c r="L420" s="272"/>
      <c r="M420" s="272"/>
      <c r="N420" s="272"/>
      <c r="O420" s="272"/>
      <c r="P420" s="272"/>
      <c r="Q420" s="272"/>
      <c r="R420" s="272"/>
      <c r="S420" s="272"/>
      <c r="T420" s="272"/>
      <c r="U420" s="272"/>
      <c r="V420" s="272"/>
      <c r="W420" s="272"/>
    </row>
    <row r="421" spans="1:23" ht="61.5" customHeight="1" thickBot="1" x14ac:dyDescent="0.3">
      <c r="A421" s="271">
        <v>84</v>
      </c>
      <c r="B421" s="1102" t="s">
        <v>3563</v>
      </c>
      <c r="C421" s="1102"/>
      <c r="D421" s="1102"/>
      <c r="E421" s="1102"/>
      <c r="F421" s="1102"/>
      <c r="G421" s="1103"/>
      <c r="H421" s="840" t="str">
        <f>B421</f>
        <v>Communication au self : ne pas culpabiliser les convives, ne pas opposer viande et végétal, mesurer l’acceptabilité et la satisfaction après service.</v>
      </c>
      <c r="I421" s="836"/>
      <c r="J421" s="836"/>
      <c r="K421" s="836"/>
      <c r="L421" s="836"/>
      <c r="M421" s="836"/>
      <c r="N421" s="836"/>
      <c r="O421" s="836"/>
      <c r="P421" s="836"/>
      <c r="Q421" s="836"/>
      <c r="R421" s="836"/>
      <c r="S421" s="836"/>
      <c r="T421" s="836"/>
      <c r="U421" s="836"/>
      <c r="V421" s="836"/>
      <c r="W421" s="837"/>
    </row>
    <row r="422" spans="1:23" ht="15.75" x14ac:dyDescent="0.25">
      <c r="A422" s="271"/>
      <c r="B422" s="282" t="s">
        <v>3557</v>
      </c>
      <c r="C422" s="281" t="s">
        <v>3564</v>
      </c>
      <c r="D422" s="272"/>
      <c r="E422" s="272"/>
      <c r="F422" s="272"/>
      <c r="G422" s="272"/>
      <c r="H422" s="272"/>
      <c r="I422" s="272"/>
      <c r="J422" s="272"/>
      <c r="K422" s="272"/>
      <c r="L422" s="272"/>
      <c r="M422" s="272"/>
      <c r="N422" s="272"/>
      <c r="O422" s="272"/>
      <c r="P422" s="272"/>
      <c r="Q422" s="272"/>
      <c r="R422" s="272"/>
      <c r="S422" s="272"/>
      <c r="T422" s="272"/>
      <c r="U422" s="272"/>
      <c r="V422" s="272"/>
      <c r="W422" s="272"/>
    </row>
    <row r="423" spans="1:23" ht="15.75" x14ac:dyDescent="0.25">
      <c r="A423" s="271"/>
      <c r="B423" s="282" t="s">
        <v>3558</v>
      </c>
      <c r="C423" s="281" t="s">
        <v>3565</v>
      </c>
      <c r="D423" s="272"/>
      <c r="E423" s="272"/>
      <c r="F423" s="272"/>
      <c r="G423" s="272"/>
      <c r="H423" s="272"/>
      <c r="I423" s="272"/>
      <c r="J423" s="272"/>
      <c r="K423" s="272"/>
      <c r="L423" s="272"/>
      <c r="M423" s="272"/>
      <c r="N423" s="272"/>
      <c r="O423" s="272"/>
      <c r="P423" s="272"/>
      <c r="Q423" s="272"/>
      <c r="R423" s="272"/>
      <c r="S423" s="272"/>
      <c r="T423" s="272"/>
      <c r="U423" s="272"/>
      <c r="V423" s="272"/>
      <c r="W423" s="272"/>
    </row>
    <row r="424" spans="1:23" ht="15.75" x14ac:dyDescent="0.25">
      <c r="A424" s="271"/>
      <c r="B424" s="282" t="s">
        <v>3559</v>
      </c>
      <c r="C424" s="281" t="s">
        <v>3566</v>
      </c>
      <c r="D424" s="272"/>
      <c r="E424" s="272"/>
      <c r="F424" s="272"/>
      <c r="G424" s="272"/>
      <c r="H424" s="272"/>
      <c r="I424" s="272"/>
      <c r="J424" s="272"/>
      <c r="K424" s="272"/>
      <c r="L424" s="272"/>
      <c r="M424" s="272"/>
      <c r="N424" s="272"/>
      <c r="O424" s="272"/>
      <c r="P424" s="272"/>
      <c r="Q424" s="272"/>
      <c r="R424" s="272"/>
      <c r="S424" s="272"/>
      <c r="T424" s="272"/>
      <c r="U424" s="272"/>
      <c r="V424" s="272"/>
      <c r="W424" s="272"/>
    </row>
    <row r="425" spans="1:23" ht="16.5" thickBot="1" x14ac:dyDescent="0.3">
      <c r="A425" s="271"/>
      <c r="C425" s="272"/>
      <c r="D425" s="272"/>
      <c r="E425" s="272"/>
      <c r="F425" s="272"/>
      <c r="G425" s="272"/>
      <c r="H425" s="272"/>
      <c r="I425" s="272"/>
      <c r="J425" s="272"/>
      <c r="K425" s="272"/>
      <c r="L425" s="272"/>
      <c r="M425" s="272"/>
      <c r="N425" s="272"/>
      <c r="O425" s="272"/>
      <c r="P425" s="272"/>
      <c r="Q425" s="272"/>
      <c r="R425" s="272"/>
      <c r="S425" s="272"/>
      <c r="T425" s="272"/>
      <c r="U425" s="272"/>
      <c r="V425" s="272"/>
      <c r="W425" s="272"/>
    </row>
    <row r="426" spans="1:23" ht="61.5" customHeight="1" thickBot="1" x14ac:dyDescent="0.3">
      <c r="A426" s="271">
        <v>85</v>
      </c>
      <c r="B426" s="1102" t="s">
        <v>3567</v>
      </c>
      <c r="C426" s="1102"/>
      <c r="D426" s="1102"/>
      <c r="E426" s="1102"/>
      <c r="F426" s="1102"/>
      <c r="G426" s="1103"/>
      <c r="H426" s="840" t="str">
        <f>B426</f>
        <v>Ressenti en bouche : la texture est sèche, le plat est sec, parfois farineux ou farineuse ; il manque du goût, du moelleux, du fondant, de la mâche, du croquant, un côté onctueux, de l’assaisonnement et de la sauce après tenue au chaud.</v>
      </c>
      <c r="I426" s="836"/>
      <c r="J426" s="836"/>
      <c r="K426" s="836"/>
      <c r="L426" s="836"/>
      <c r="M426" s="836"/>
      <c r="N426" s="836"/>
      <c r="O426" s="836"/>
      <c r="P426" s="836"/>
      <c r="Q426" s="836"/>
      <c r="R426" s="836"/>
      <c r="S426" s="836"/>
      <c r="T426" s="836"/>
      <c r="U426" s="836"/>
      <c r="V426" s="836"/>
      <c r="W426" s="837"/>
    </row>
    <row r="427" spans="1:23" ht="15.75" x14ac:dyDescent="0.25">
      <c r="A427" s="271"/>
      <c r="B427" s="282" t="s">
        <v>3557</v>
      </c>
      <c r="C427" s="281" t="s">
        <v>3568</v>
      </c>
      <c r="D427" s="272"/>
      <c r="E427" s="272"/>
      <c r="F427" s="272"/>
      <c r="G427" s="272"/>
      <c r="H427" s="272"/>
      <c r="I427" s="272"/>
      <c r="J427" s="272"/>
      <c r="K427" s="272"/>
      <c r="L427" s="272"/>
      <c r="M427" s="272"/>
      <c r="N427" s="272"/>
      <c r="O427" s="272"/>
      <c r="P427" s="272"/>
      <c r="Q427" s="272"/>
      <c r="R427" s="272"/>
      <c r="S427" s="272"/>
      <c r="T427" s="272"/>
      <c r="U427" s="272"/>
      <c r="V427" s="272"/>
      <c r="W427" s="272"/>
    </row>
    <row r="428" spans="1:23" ht="15.75" x14ac:dyDescent="0.25">
      <c r="A428" s="271"/>
      <c r="B428" s="282" t="s">
        <v>3558</v>
      </c>
      <c r="C428" s="281" t="s">
        <v>2278</v>
      </c>
      <c r="D428" s="272"/>
      <c r="E428" s="272"/>
      <c r="F428" s="272"/>
      <c r="G428" s="272"/>
      <c r="H428" s="272"/>
      <c r="I428" s="272"/>
      <c r="J428" s="272"/>
      <c r="K428" s="272"/>
      <c r="L428" s="272"/>
      <c r="M428" s="272"/>
      <c r="N428" s="272"/>
      <c r="O428" s="272"/>
      <c r="P428" s="272"/>
      <c r="Q428" s="272"/>
      <c r="R428" s="272"/>
      <c r="S428" s="272"/>
      <c r="T428" s="272"/>
      <c r="U428" s="272"/>
      <c r="V428" s="272"/>
      <c r="W428" s="272"/>
    </row>
    <row r="429" spans="1:23" ht="15.75" x14ac:dyDescent="0.25">
      <c r="A429" s="271"/>
      <c r="B429" s="282" t="s">
        <v>3559</v>
      </c>
      <c r="C429" s="281" t="s">
        <v>3569</v>
      </c>
      <c r="D429" s="272"/>
      <c r="E429" s="272"/>
      <c r="F429" s="272"/>
      <c r="G429" s="272"/>
      <c r="H429" s="272"/>
      <c r="I429" s="272"/>
      <c r="J429" s="272"/>
      <c r="K429" s="272"/>
      <c r="L429" s="272"/>
      <c r="M429" s="272"/>
      <c r="N429" s="272"/>
      <c r="O429" s="272"/>
      <c r="P429" s="272"/>
      <c r="Q429" s="272"/>
      <c r="R429" s="272"/>
      <c r="S429" s="272"/>
      <c r="T429" s="272"/>
      <c r="U429" s="272"/>
      <c r="V429" s="272"/>
      <c r="W429" s="272"/>
    </row>
    <row r="430" spans="1:23" ht="16.5" thickBot="1" x14ac:dyDescent="0.3">
      <c r="A430" s="271"/>
      <c r="C430" s="272"/>
      <c r="D430" s="272"/>
      <c r="E430" s="272"/>
      <c r="F430" s="272"/>
      <c r="G430" s="272"/>
      <c r="H430" s="272"/>
      <c r="I430" s="272"/>
      <c r="J430" s="272"/>
      <c r="K430" s="272"/>
      <c r="L430" s="272"/>
      <c r="M430" s="272"/>
      <c r="N430" s="272"/>
      <c r="O430" s="272"/>
      <c r="P430" s="272"/>
      <c r="Q430" s="272"/>
      <c r="R430" s="272"/>
      <c r="S430" s="272"/>
      <c r="T430" s="272"/>
      <c r="U430" s="272"/>
      <c r="V430" s="272"/>
      <c r="W430" s="272"/>
    </row>
    <row r="431" spans="1:23" ht="61.5" customHeight="1" thickBot="1" x14ac:dyDescent="0.3">
      <c r="A431" s="271">
        <v>86</v>
      </c>
      <c r="B431" s="1102" t="s">
        <v>3570</v>
      </c>
      <c r="C431" s="1102"/>
      <c r="D431" s="1102"/>
      <c r="E431" s="1102"/>
      <c r="F431" s="1102"/>
      <c r="G431" s="1103"/>
      <c r="H431" s="840" t="str">
        <f>B431</f>
        <v>Version sans accents : le gout est faible, la recette seche manque de mache, la sauce ne corrige pas le ressenti en bouche et la texture reste difficile.</v>
      </c>
      <c r="I431" s="836"/>
      <c r="J431" s="836"/>
      <c r="K431" s="836"/>
      <c r="L431" s="836"/>
      <c r="M431" s="836"/>
      <c r="N431" s="836"/>
      <c r="O431" s="836"/>
      <c r="P431" s="836"/>
      <c r="Q431" s="836"/>
      <c r="R431" s="836"/>
      <c r="S431" s="836"/>
      <c r="T431" s="836"/>
      <c r="U431" s="836"/>
      <c r="V431" s="836"/>
      <c r="W431" s="837"/>
    </row>
    <row r="432" spans="1:23" ht="15.75" x14ac:dyDescent="0.25">
      <c r="A432" s="271"/>
      <c r="B432" s="282" t="s">
        <v>3557</v>
      </c>
      <c r="C432" s="281" t="s">
        <v>3571</v>
      </c>
      <c r="D432" s="272"/>
      <c r="E432" s="272"/>
      <c r="F432" s="272"/>
      <c r="G432" s="272"/>
      <c r="H432" s="272"/>
      <c r="I432" s="272"/>
      <c r="J432" s="272"/>
      <c r="K432" s="272"/>
      <c r="L432" s="272"/>
      <c r="M432" s="272"/>
      <c r="N432" s="272"/>
      <c r="O432" s="272"/>
      <c r="P432" s="272"/>
      <c r="Q432" s="272"/>
      <c r="R432" s="272"/>
      <c r="S432" s="272"/>
      <c r="T432" s="272"/>
      <c r="U432" s="272"/>
      <c r="V432" s="272"/>
      <c r="W432" s="272"/>
    </row>
    <row r="433" spans="1:23" ht="15.75" x14ac:dyDescent="0.25">
      <c r="A433" s="271"/>
      <c r="B433" s="282" t="s">
        <v>3558</v>
      </c>
      <c r="C433" s="281" t="s">
        <v>2278</v>
      </c>
      <c r="D433" s="272"/>
      <c r="E433" s="272"/>
      <c r="F433" s="272"/>
      <c r="G433" s="272"/>
      <c r="H433" s="272"/>
      <c r="I433" s="272"/>
      <c r="J433" s="272"/>
      <c r="K433" s="272"/>
      <c r="L433" s="272"/>
      <c r="M433" s="272"/>
      <c r="N433" s="272"/>
      <c r="O433" s="272"/>
      <c r="P433" s="272"/>
      <c r="Q433" s="272"/>
      <c r="R433" s="272"/>
      <c r="S433" s="272"/>
      <c r="T433" s="272"/>
      <c r="U433" s="272"/>
      <c r="V433" s="272"/>
      <c r="W433" s="272"/>
    </row>
    <row r="434" spans="1:23" ht="15.75" x14ac:dyDescent="0.25">
      <c r="A434" s="271"/>
      <c r="B434" s="282" t="s">
        <v>3559</v>
      </c>
      <c r="C434" s="281" t="s">
        <v>3572</v>
      </c>
      <c r="D434" s="272"/>
      <c r="E434" s="272"/>
      <c r="F434" s="272"/>
      <c r="G434" s="272"/>
      <c r="H434" s="272"/>
      <c r="I434" s="272"/>
      <c r="J434" s="272"/>
      <c r="K434" s="272"/>
      <c r="L434" s="272"/>
      <c r="M434" s="272"/>
      <c r="N434" s="272"/>
      <c r="O434" s="272"/>
      <c r="P434" s="272"/>
      <c r="Q434" s="272"/>
      <c r="R434" s="272"/>
      <c r="S434" s="272"/>
      <c r="T434" s="272"/>
      <c r="U434" s="272"/>
      <c r="V434" s="272"/>
      <c r="W434" s="272"/>
    </row>
    <row r="435" spans="1:23" ht="16.5" thickBot="1" x14ac:dyDescent="0.3">
      <c r="A435" s="271"/>
      <c r="C435" s="272"/>
      <c r="D435" s="272"/>
      <c r="E435" s="272"/>
      <c r="F435" s="272"/>
      <c r="G435" s="272"/>
      <c r="H435" s="272"/>
      <c r="I435" s="272"/>
      <c r="J435" s="272"/>
      <c r="K435" s="272"/>
      <c r="L435" s="272"/>
      <c r="M435" s="272"/>
      <c r="N435" s="272"/>
      <c r="O435" s="272"/>
      <c r="P435" s="272"/>
      <c r="Q435" s="272"/>
      <c r="R435" s="272"/>
      <c r="S435" s="272"/>
      <c r="T435" s="272"/>
      <c r="U435" s="272"/>
      <c r="V435" s="272"/>
      <c r="W435" s="272"/>
    </row>
    <row r="436" spans="1:23" ht="61.5" customHeight="1" thickBot="1" x14ac:dyDescent="0.3">
      <c r="A436" s="271">
        <v>87</v>
      </c>
      <c r="B436" s="1102" t="s">
        <v>3573</v>
      </c>
      <c r="C436" s="1102"/>
      <c r="D436" s="1102"/>
      <c r="E436" s="1102"/>
      <c r="F436" s="1102"/>
      <c r="G436" s="1103"/>
      <c r="H436" s="840" t="str">
        <f>B436</f>
        <v>Lecture nutritionnelle : la nutrition, le plan nutritionnel, la protéine, les protéines, l’équilibre, l’apport protéique, le plat complet, la céréale, les fibres et le fer sont contrôlés.</v>
      </c>
      <c r="I436" s="836"/>
      <c r="J436" s="836"/>
      <c r="K436" s="836"/>
      <c r="L436" s="836"/>
      <c r="M436" s="836"/>
      <c r="N436" s="836"/>
      <c r="O436" s="836"/>
      <c r="P436" s="836"/>
      <c r="Q436" s="836"/>
      <c r="R436" s="836"/>
      <c r="S436" s="836"/>
      <c r="T436" s="836"/>
      <c r="U436" s="836"/>
      <c r="V436" s="836"/>
      <c r="W436" s="837"/>
    </row>
    <row r="437" spans="1:23" ht="15.75" x14ac:dyDescent="0.25">
      <c r="A437" s="271"/>
      <c r="B437" s="282" t="s">
        <v>3557</v>
      </c>
      <c r="C437" s="281" t="s">
        <v>3574</v>
      </c>
      <c r="D437" s="272"/>
      <c r="E437" s="272"/>
      <c r="F437" s="272"/>
      <c r="G437" s="272"/>
      <c r="H437" s="272"/>
      <c r="I437" s="272"/>
      <c r="J437" s="272"/>
      <c r="K437" s="272"/>
      <c r="L437" s="272"/>
      <c r="M437" s="272"/>
      <c r="N437" s="272"/>
      <c r="O437" s="272"/>
      <c r="P437" s="272"/>
      <c r="Q437" s="272"/>
      <c r="R437" s="272"/>
      <c r="S437" s="272"/>
      <c r="T437" s="272"/>
      <c r="U437" s="272"/>
      <c r="V437" s="272"/>
      <c r="W437" s="272"/>
    </row>
    <row r="438" spans="1:23" ht="15.75" x14ac:dyDescent="0.25">
      <c r="A438" s="271"/>
      <c r="B438" s="282" t="s">
        <v>3558</v>
      </c>
      <c r="C438" s="281" t="s">
        <v>572</v>
      </c>
      <c r="D438" s="272"/>
      <c r="E438" s="272"/>
      <c r="F438" s="272"/>
      <c r="G438" s="272"/>
      <c r="H438" s="272"/>
      <c r="I438" s="272"/>
      <c r="J438" s="272"/>
      <c r="K438" s="272"/>
      <c r="L438" s="272"/>
      <c r="M438" s="272"/>
      <c r="N438" s="272"/>
      <c r="O438" s="272"/>
      <c r="P438" s="272"/>
      <c r="Q438" s="272"/>
      <c r="R438" s="272"/>
      <c r="S438" s="272"/>
      <c r="T438" s="272"/>
      <c r="U438" s="272"/>
      <c r="V438" s="272"/>
      <c r="W438" s="272"/>
    </row>
    <row r="439" spans="1:23" ht="15.75" x14ac:dyDescent="0.25">
      <c r="A439" s="271"/>
      <c r="B439" s="282" t="s">
        <v>3559</v>
      </c>
      <c r="C439" s="281" t="s">
        <v>3575</v>
      </c>
      <c r="D439" s="272"/>
      <c r="E439" s="272"/>
      <c r="F439" s="272"/>
      <c r="G439" s="272"/>
      <c r="H439" s="272"/>
      <c r="I439" s="272"/>
      <c r="J439" s="272"/>
      <c r="K439" s="272"/>
      <c r="L439" s="272"/>
      <c r="M439" s="272"/>
      <c r="N439" s="272"/>
      <c r="O439" s="272"/>
      <c r="P439" s="272"/>
      <c r="Q439" s="272"/>
      <c r="R439" s="272"/>
      <c r="S439" s="272"/>
      <c r="T439" s="272"/>
      <c r="U439" s="272"/>
      <c r="V439" s="272"/>
      <c r="W439" s="272"/>
    </row>
    <row r="440" spans="1:23" ht="16.5" thickBot="1" x14ac:dyDescent="0.3">
      <c r="A440" s="271"/>
      <c r="C440" s="272"/>
      <c r="D440" s="272"/>
      <c r="E440" s="272"/>
      <c r="F440" s="272"/>
      <c r="G440" s="272"/>
      <c r="H440" s="272"/>
      <c r="I440" s="272"/>
      <c r="J440" s="272"/>
      <c r="K440" s="272"/>
      <c r="L440" s="272"/>
      <c r="M440" s="272"/>
      <c r="N440" s="272"/>
      <c r="O440" s="272"/>
      <c r="P440" s="272"/>
      <c r="Q440" s="272"/>
      <c r="R440" s="272"/>
      <c r="S440" s="272"/>
      <c r="T440" s="272"/>
      <c r="U440" s="272"/>
      <c r="V440" s="272"/>
      <c r="W440" s="272"/>
    </row>
    <row r="441" spans="1:23" ht="61.5" customHeight="1" thickBot="1" x14ac:dyDescent="0.3">
      <c r="A441" s="271">
        <v>88</v>
      </c>
      <c r="B441" s="1102" t="s">
        <v>3576</v>
      </c>
      <c r="C441" s="1102"/>
      <c r="D441" s="1102"/>
      <c r="E441" s="1102"/>
      <c r="F441" s="1102"/>
      <c r="G441" s="1103"/>
      <c r="H441" s="840" t="str">
        <f>B441</f>
        <v>Version nutrition sans accents : proteine, proteines, equilibre, apport proteique et cereale sont écrits sans accents pour vérifier les variantes du dictionnaire.</v>
      </c>
      <c r="I441" s="836"/>
      <c r="J441" s="836"/>
      <c r="K441" s="836"/>
      <c r="L441" s="836"/>
      <c r="M441" s="836"/>
      <c r="N441" s="836"/>
      <c r="O441" s="836"/>
      <c r="P441" s="836"/>
      <c r="Q441" s="836"/>
      <c r="R441" s="836"/>
      <c r="S441" s="836"/>
      <c r="T441" s="836"/>
      <c r="U441" s="836"/>
      <c r="V441" s="836"/>
      <c r="W441" s="837"/>
    </row>
    <row r="442" spans="1:23" ht="15.75" x14ac:dyDescent="0.25">
      <c r="A442" s="271"/>
      <c r="B442" s="282" t="s">
        <v>3557</v>
      </c>
      <c r="C442" s="281" t="s">
        <v>3577</v>
      </c>
      <c r="D442" s="272"/>
      <c r="E442" s="272"/>
      <c r="F442" s="272"/>
      <c r="G442" s="272"/>
      <c r="H442" s="272"/>
      <c r="I442" s="272"/>
      <c r="J442" s="272"/>
      <c r="K442" s="272"/>
      <c r="L442" s="272"/>
      <c r="M442" s="272"/>
      <c r="N442" s="272"/>
      <c r="O442" s="272"/>
      <c r="P442" s="272"/>
      <c r="Q442" s="272"/>
      <c r="R442" s="272"/>
      <c r="S442" s="272"/>
      <c r="T442" s="272"/>
      <c r="U442" s="272"/>
      <c r="V442" s="272"/>
      <c r="W442" s="272"/>
    </row>
    <row r="443" spans="1:23" ht="15.75" x14ac:dyDescent="0.25">
      <c r="A443" s="271"/>
      <c r="B443" s="282" t="s">
        <v>3558</v>
      </c>
      <c r="C443" s="281" t="s">
        <v>572</v>
      </c>
      <c r="D443" s="272"/>
      <c r="E443" s="272"/>
      <c r="F443" s="272"/>
      <c r="G443" s="272"/>
      <c r="H443" s="272"/>
      <c r="I443" s="272"/>
      <c r="J443" s="272"/>
      <c r="K443" s="272"/>
      <c r="L443" s="272"/>
      <c r="M443" s="272"/>
      <c r="N443" s="272"/>
      <c r="O443" s="272"/>
      <c r="P443" s="272"/>
      <c r="Q443" s="272"/>
      <c r="R443" s="272"/>
      <c r="S443" s="272"/>
      <c r="T443" s="272"/>
      <c r="U443" s="272"/>
      <c r="V443" s="272"/>
      <c r="W443" s="272"/>
    </row>
    <row r="444" spans="1:23" ht="15.75" x14ac:dyDescent="0.25">
      <c r="A444" s="271"/>
      <c r="B444" s="282" t="s">
        <v>3559</v>
      </c>
      <c r="C444" s="281" t="s">
        <v>3578</v>
      </c>
      <c r="D444" s="272"/>
      <c r="E444" s="272"/>
      <c r="F444" s="272"/>
      <c r="G444" s="272"/>
      <c r="H444" s="272"/>
      <c r="I444" s="272"/>
      <c r="J444" s="272"/>
      <c r="K444" s="272"/>
      <c r="L444" s="272"/>
      <c r="M444" s="272"/>
      <c r="N444" s="272"/>
      <c r="O444" s="272"/>
      <c r="P444" s="272"/>
      <c r="Q444" s="272"/>
      <c r="R444" s="272"/>
      <c r="S444" s="272"/>
      <c r="T444" s="272"/>
      <c r="U444" s="272"/>
      <c r="V444" s="272"/>
      <c r="W444" s="272"/>
    </row>
    <row r="445" spans="1:23" ht="16.5" thickBot="1" x14ac:dyDescent="0.3">
      <c r="A445" s="271"/>
      <c r="C445" s="272"/>
      <c r="D445" s="272"/>
      <c r="E445" s="272"/>
      <c r="F445" s="272"/>
      <c r="G445" s="272"/>
      <c r="H445" s="272"/>
      <c r="I445" s="272"/>
      <c r="J445" s="272"/>
      <c r="K445" s="272"/>
      <c r="L445" s="272"/>
      <c r="M445" s="272"/>
      <c r="N445" s="272"/>
      <c r="O445" s="272"/>
      <c r="P445" s="272"/>
      <c r="Q445" s="272"/>
      <c r="R445" s="272"/>
      <c r="S445" s="272"/>
      <c r="T445" s="272"/>
      <c r="U445" s="272"/>
      <c r="V445" s="272"/>
      <c r="W445" s="272"/>
    </row>
    <row r="446" spans="1:23" ht="61.5" customHeight="1" thickBot="1" x14ac:dyDescent="0.3">
      <c r="A446" s="271">
        <v>89</v>
      </c>
      <c r="B446" s="1102" t="s">
        <v>3579</v>
      </c>
      <c r="C446" s="1102"/>
      <c r="D446" s="1102"/>
      <c r="E446" s="1102"/>
      <c r="F446" s="1102"/>
      <c r="G446" s="1103"/>
      <c r="H446" s="840" t="str">
        <f>B446</f>
        <v>Allergène critique : le seitan contient du gluten ; il faut une information claire et une alternative pour les convives concernés.</v>
      </c>
      <c r="I446" s="836"/>
      <c r="J446" s="836"/>
      <c r="K446" s="836"/>
      <c r="L446" s="836"/>
      <c r="M446" s="836"/>
      <c r="N446" s="836"/>
      <c r="O446" s="836"/>
      <c r="P446" s="836"/>
      <c r="Q446" s="836"/>
      <c r="R446" s="836"/>
      <c r="S446" s="836"/>
      <c r="T446" s="836"/>
      <c r="U446" s="836"/>
      <c r="V446" s="836"/>
      <c r="W446" s="837"/>
    </row>
    <row r="447" spans="1:23" ht="15.75" x14ac:dyDescent="0.25">
      <c r="A447" s="271"/>
      <c r="B447" s="282" t="s">
        <v>3557</v>
      </c>
      <c r="C447" s="281" t="s">
        <v>3580</v>
      </c>
      <c r="D447" s="272"/>
      <c r="E447" s="272"/>
      <c r="F447" s="272"/>
      <c r="G447" s="272"/>
      <c r="H447" s="272"/>
      <c r="I447" s="272"/>
      <c r="J447" s="272"/>
      <c r="K447" s="272"/>
      <c r="L447" s="272"/>
      <c r="M447" s="272"/>
      <c r="N447" s="272"/>
      <c r="O447" s="272"/>
      <c r="P447" s="272"/>
      <c r="Q447" s="272"/>
      <c r="R447" s="272"/>
      <c r="S447" s="272"/>
      <c r="T447" s="272"/>
      <c r="U447" s="272"/>
      <c r="V447" s="272"/>
      <c r="W447" s="272"/>
    </row>
    <row r="448" spans="1:23" ht="15.75" x14ac:dyDescent="0.25">
      <c r="A448" s="271"/>
      <c r="B448" s="282" t="s">
        <v>3558</v>
      </c>
      <c r="C448" s="281" t="s">
        <v>3581</v>
      </c>
      <c r="D448" s="272"/>
      <c r="E448" s="272"/>
      <c r="F448" s="272"/>
      <c r="G448" s="272"/>
      <c r="H448" s="272"/>
      <c r="I448" s="272"/>
      <c r="J448" s="272"/>
      <c r="K448" s="272"/>
      <c r="L448" s="272"/>
      <c r="M448" s="272"/>
      <c r="N448" s="272"/>
      <c r="O448" s="272"/>
      <c r="P448" s="272"/>
      <c r="Q448" s="272"/>
      <c r="R448" s="272"/>
      <c r="S448" s="272"/>
      <c r="T448" s="272"/>
      <c r="U448" s="272"/>
      <c r="V448" s="272"/>
      <c r="W448" s="272"/>
    </row>
    <row r="449" spans="1:23" ht="15.75" x14ac:dyDescent="0.25">
      <c r="A449" s="271"/>
      <c r="B449" s="282" t="s">
        <v>3559</v>
      </c>
      <c r="C449" s="281" t="s">
        <v>3582</v>
      </c>
      <c r="D449" s="272"/>
      <c r="E449" s="272"/>
      <c r="F449" s="272"/>
      <c r="G449" s="272"/>
      <c r="H449" s="272"/>
      <c r="I449" s="272"/>
      <c r="J449" s="272"/>
      <c r="K449" s="272"/>
      <c r="L449" s="272"/>
      <c r="M449" s="272"/>
      <c r="N449" s="272"/>
      <c r="O449" s="272"/>
      <c r="P449" s="272"/>
      <c r="Q449" s="272"/>
      <c r="R449" s="272"/>
      <c r="S449" s="272"/>
      <c r="T449" s="272"/>
      <c r="U449" s="272"/>
      <c r="V449" s="272"/>
      <c r="W449" s="272"/>
    </row>
    <row r="450" spans="1:23" ht="16.5" thickBot="1" x14ac:dyDescent="0.3">
      <c r="A450" s="271"/>
      <c r="C450" s="272"/>
      <c r="D450" s="272"/>
      <c r="E450" s="272"/>
      <c r="F450" s="272"/>
      <c r="G450" s="272"/>
      <c r="H450" s="272"/>
      <c r="I450" s="272"/>
      <c r="J450" s="272"/>
      <c r="K450" s="272"/>
      <c r="L450" s="272"/>
      <c r="M450" s="272"/>
      <c r="N450" s="272"/>
      <c r="O450" s="272"/>
      <c r="P450" s="272"/>
      <c r="Q450" s="272"/>
      <c r="R450" s="272"/>
      <c r="S450" s="272"/>
      <c r="T450" s="272"/>
      <c r="U450" s="272"/>
      <c r="V450" s="272"/>
      <c r="W450" s="272"/>
    </row>
    <row r="451" spans="1:23" ht="61.5" customHeight="1" thickBot="1" x14ac:dyDescent="0.3">
      <c r="A451" s="271">
        <v>90</v>
      </c>
      <c r="B451" s="1102" t="s">
        <v>3583</v>
      </c>
      <c r="C451" s="1102"/>
      <c r="D451" s="1102"/>
      <c r="E451" s="1102"/>
      <c r="F451" s="1102"/>
      <c r="G451" s="1103"/>
      <c r="H451" s="840" t="str">
        <f>B451</f>
        <v>Sources végétales classiques : lentilles, pois chiche, pois chiches, haricots, pois cassés, fèves, feves, féverole, feverole et graines doivent être répartis sur le cycle.</v>
      </c>
      <c r="I451" s="836"/>
      <c r="J451" s="836"/>
      <c r="K451" s="836"/>
      <c r="L451" s="836"/>
      <c r="M451" s="836"/>
      <c r="N451" s="836"/>
      <c r="O451" s="836"/>
      <c r="P451" s="836"/>
      <c r="Q451" s="836"/>
      <c r="R451" s="836"/>
      <c r="S451" s="836"/>
      <c r="T451" s="836"/>
      <c r="U451" s="836"/>
      <c r="V451" s="836"/>
      <c r="W451" s="837"/>
    </row>
    <row r="452" spans="1:23" ht="15.75" x14ac:dyDescent="0.25">
      <c r="A452" s="271"/>
      <c r="B452" s="282" t="s">
        <v>3557</v>
      </c>
      <c r="C452" s="281" t="s">
        <v>3584</v>
      </c>
      <c r="D452" s="272"/>
      <c r="E452" s="272"/>
      <c r="F452" s="272"/>
      <c r="G452" s="272"/>
      <c r="H452" s="272"/>
      <c r="I452" s="272"/>
      <c r="J452" s="272"/>
      <c r="K452" s="272"/>
      <c r="L452" s="272"/>
      <c r="M452" s="272"/>
      <c r="N452" s="272"/>
      <c r="O452" s="272"/>
      <c r="P452" s="272"/>
      <c r="Q452" s="272"/>
      <c r="R452" s="272"/>
      <c r="S452" s="272"/>
      <c r="T452" s="272"/>
      <c r="U452" s="272"/>
      <c r="V452" s="272"/>
      <c r="W452" s="272"/>
    </row>
    <row r="453" spans="1:23" ht="15.75" x14ac:dyDescent="0.25">
      <c r="A453" s="271"/>
      <c r="B453" s="282" t="s">
        <v>3558</v>
      </c>
      <c r="C453" s="281" t="s">
        <v>2375</v>
      </c>
      <c r="D453" s="272"/>
      <c r="E453" s="272"/>
      <c r="F453" s="272"/>
      <c r="G453" s="272"/>
      <c r="H453" s="272"/>
      <c r="I453" s="272"/>
      <c r="J453" s="272"/>
      <c r="K453" s="272"/>
      <c r="L453" s="272"/>
      <c r="M453" s="272"/>
      <c r="N453" s="272"/>
      <c r="O453" s="272"/>
      <c r="P453" s="272"/>
      <c r="Q453" s="272"/>
      <c r="R453" s="272"/>
      <c r="S453" s="272"/>
      <c r="T453" s="272"/>
      <c r="U453" s="272"/>
      <c r="V453" s="272"/>
      <c r="W453" s="272"/>
    </row>
    <row r="454" spans="1:23" ht="15.75" x14ac:dyDescent="0.25">
      <c r="A454" s="271"/>
      <c r="B454" s="282" t="s">
        <v>3559</v>
      </c>
      <c r="C454" s="281" t="s">
        <v>3585</v>
      </c>
      <c r="D454" s="272"/>
      <c r="E454" s="272"/>
      <c r="F454" s="272"/>
      <c r="G454" s="272"/>
      <c r="H454" s="272"/>
      <c r="I454" s="272"/>
      <c r="J454" s="272"/>
      <c r="K454" s="272"/>
      <c r="L454" s="272"/>
      <c r="M454" s="272"/>
      <c r="N454" s="272"/>
      <c r="O454" s="272"/>
      <c r="P454" s="272"/>
      <c r="Q454" s="272"/>
      <c r="R454" s="272"/>
      <c r="S454" s="272"/>
      <c r="T454" s="272"/>
      <c r="U454" s="272"/>
      <c r="V454" s="272"/>
      <c r="W454" s="272"/>
    </row>
    <row r="455" spans="1:23" ht="16.5" thickBot="1" x14ac:dyDescent="0.3">
      <c r="A455" s="271"/>
      <c r="C455" s="272"/>
      <c r="D455" s="272"/>
      <c r="E455" s="272"/>
      <c r="F455" s="272"/>
      <c r="G455" s="272"/>
      <c r="H455" s="272"/>
      <c r="I455" s="272"/>
      <c r="J455" s="272"/>
      <c r="K455" s="272"/>
      <c r="L455" s="272"/>
      <c r="M455" s="272"/>
      <c r="N455" s="272"/>
      <c r="O455" s="272"/>
      <c r="P455" s="272"/>
      <c r="Q455" s="272"/>
      <c r="R455" s="272"/>
      <c r="S455" s="272"/>
      <c r="T455" s="272"/>
      <c r="U455" s="272"/>
      <c r="V455" s="272"/>
      <c r="W455" s="272"/>
    </row>
    <row r="456" spans="1:23" ht="61.5" customHeight="1" thickBot="1" x14ac:dyDescent="0.3">
      <c r="A456" s="271">
        <v>91</v>
      </c>
      <c r="B456" s="1102" t="s">
        <v>3586</v>
      </c>
      <c r="C456" s="1102"/>
      <c r="D456" s="1102"/>
      <c r="E456" s="1102"/>
      <c r="F456" s="1102"/>
      <c r="G456" s="1103"/>
      <c r="H456" s="840" t="str">
        <f>B456</f>
        <v>Sources végétales complémentaires : soja, tofu, tempeh, lupin, quinoa, sarrasin, protéines de soja texturées et proteines de soja texturees sont comparés selon coût, texture, allergènes et acceptabilité.</v>
      </c>
      <c r="I456" s="836"/>
      <c r="J456" s="836"/>
      <c r="K456" s="836"/>
      <c r="L456" s="836"/>
      <c r="M456" s="836"/>
      <c r="N456" s="836"/>
      <c r="O456" s="836"/>
      <c r="P456" s="836"/>
      <c r="Q456" s="836"/>
      <c r="R456" s="836"/>
      <c r="S456" s="836"/>
      <c r="T456" s="836"/>
      <c r="U456" s="836"/>
      <c r="V456" s="836"/>
      <c r="W456" s="837"/>
    </row>
    <row r="457" spans="1:23" ht="15.75" x14ac:dyDescent="0.25">
      <c r="A457" s="271"/>
      <c r="B457" s="282" t="s">
        <v>3557</v>
      </c>
      <c r="C457" s="281" t="s">
        <v>3587</v>
      </c>
      <c r="D457" s="272"/>
      <c r="E457" s="272"/>
      <c r="F457" s="272"/>
      <c r="G457" s="272"/>
      <c r="H457" s="272"/>
      <c r="I457" s="272"/>
      <c r="J457" s="272"/>
      <c r="K457" s="272"/>
      <c r="L457" s="272"/>
      <c r="M457" s="272"/>
      <c r="N457" s="272"/>
      <c r="O457" s="272"/>
      <c r="P457" s="272"/>
      <c r="Q457" s="272"/>
      <c r="R457" s="272"/>
      <c r="S457" s="272"/>
      <c r="T457" s="272"/>
      <c r="U457" s="272"/>
      <c r="V457" s="272"/>
      <c r="W457" s="272"/>
    </row>
    <row r="458" spans="1:23" ht="15.75" x14ac:dyDescent="0.25">
      <c r="A458" s="271"/>
      <c r="B458" s="282" t="s">
        <v>3558</v>
      </c>
      <c r="C458" s="281" t="s">
        <v>3588</v>
      </c>
      <c r="D458" s="272"/>
      <c r="E458" s="272"/>
      <c r="F458" s="272"/>
      <c r="G458" s="272"/>
      <c r="H458" s="272"/>
      <c r="I458" s="272"/>
      <c r="J458" s="272"/>
      <c r="K458" s="272"/>
      <c r="L458" s="272"/>
      <c r="M458" s="272"/>
      <c r="N458" s="272"/>
      <c r="O458" s="272"/>
      <c r="P458" s="272"/>
      <c r="Q458" s="272"/>
      <c r="R458" s="272"/>
      <c r="S458" s="272"/>
      <c r="T458" s="272"/>
      <c r="U458" s="272"/>
      <c r="V458" s="272"/>
      <c r="W458" s="272"/>
    </row>
    <row r="459" spans="1:23" ht="15.75" x14ac:dyDescent="0.25">
      <c r="A459" s="271"/>
      <c r="B459" s="282" t="s">
        <v>3559</v>
      </c>
      <c r="C459" s="281" t="s">
        <v>3589</v>
      </c>
      <c r="D459" s="272"/>
      <c r="E459" s="272"/>
      <c r="F459" s="272"/>
      <c r="G459" s="272"/>
      <c r="H459" s="272"/>
      <c r="I459" s="272"/>
      <c r="J459" s="272"/>
      <c r="K459" s="272"/>
      <c r="L459" s="272"/>
      <c r="M459" s="272"/>
      <c r="N459" s="272"/>
      <c r="O459" s="272"/>
      <c r="P459" s="272"/>
      <c r="Q459" s="272"/>
      <c r="R459" s="272"/>
      <c r="S459" s="272"/>
      <c r="T459" s="272"/>
      <c r="U459" s="272"/>
      <c r="V459" s="272"/>
      <c r="W459" s="272"/>
    </row>
  </sheetData>
  <mergeCells count="104">
    <mergeCell ref="B3:G3"/>
    <mergeCell ref="B446:G446"/>
    <mergeCell ref="B451:G451"/>
    <mergeCell ref="B456:G456"/>
    <mergeCell ref="B88:G88"/>
    <mergeCell ref="B83:G83"/>
    <mergeCell ref="B78:G78"/>
    <mergeCell ref="B73:G73"/>
    <mergeCell ref="B68:G68"/>
    <mergeCell ref="B63:G63"/>
    <mergeCell ref="B2:E2"/>
    <mergeCell ref="B58:G58"/>
    <mergeCell ref="B53:G53"/>
    <mergeCell ref="B48:G48"/>
    <mergeCell ref="B43:G43"/>
    <mergeCell ref="B38:G38"/>
    <mergeCell ref="B33:G33"/>
    <mergeCell ref="B28:G28"/>
    <mergeCell ref="B23:G23"/>
    <mergeCell ref="B18:G18"/>
    <mergeCell ref="B13:G13"/>
    <mergeCell ref="B8:G8"/>
    <mergeCell ref="B93:G93"/>
    <mergeCell ref="B98:G98"/>
    <mergeCell ref="B103:G103"/>
    <mergeCell ref="B108:G108"/>
    <mergeCell ref="B113:G113"/>
    <mergeCell ref="B118:G118"/>
    <mergeCell ref="B123:G123"/>
    <mergeCell ref="B128:G128"/>
    <mergeCell ref="B133:G133"/>
    <mergeCell ref="B138:G138"/>
    <mergeCell ref="B143:G143"/>
    <mergeCell ref="B148:G148"/>
    <mergeCell ref="B153:G153"/>
    <mergeCell ref="B158:G158"/>
    <mergeCell ref="B163:G163"/>
    <mergeCell ref="B168:G168"/>
    <mergeCell ref="B173:G173"/>
    <mergeCell ref="B178:G178"/>
    <mergeCell ref="B183:G183"/>
    <mergeCell ref="B188:G188"/>
    <mergeCell ref="B193:G193"/>
    <mergeCell ref="B198:G198"/>
    <mergeCell ref="B203:G203"/>
    <mergeCell ref="B208:G208"/>
    <mergeCell ref="B213:G213"/>
    <mergeCell ref="B218:G218"/>
    <mergeCell ref="B223:G223"/>
    <mergeCell ref="B228:G228"/>
    <mergeCell ref="B233:G233"/>
    <mergeCell ref="B238:G238"/>
    <mergeCell ref="B243:G243"/>
    <mergeCell ref="B248:G248"/>
    <mergeCell ref="B253:G253"/>
    <mergeCell ref="B258:G258"/>
    <mergeCell ref="B263:G263"/>
    <mergeCell ref="B268:G268"/>
    <mergeCell ref="B273:G273"/>
    <mergeCell ref="B278:G278"/>
    <mergeCell ref="B283:G283"/>
    <mergeCell ref="B288:G288"/>
    <mergeCell ref="B293:G293"/>
    <mergeCell ref="B298:G298"/>
    <mergeCell ref="B303:G303"/>
    <mergeCell ref="B308:G308"/>
    <mergeCell ref="B313:G313"/>
    <mergeCell ref="B318:G318"/>
    <mergeCell ref="B323:G323"/>
    <mergeCell ref="B328:G328"/>
    <mergeCell ref="B333:G333"/>
    <mergeCell ref="B338:G338"/>
    <mergeCell ref="B343:G343"/>
    <mergeCell ref="B348:G348"/>
    <mergeCell ref="B353:G353"/>
    <mergeCell ref="B358:G358"/>
    <mergeCell ref="B405:E405"/>
    <mergeCell ref="H406:W406"/>
    <mergeCell ref="H411:W411"/>
    <mergeCell ref="B363:G363"/>
    <mergeCell ref="B368:G368"/>
    <mergeCell ref="B373:G373"/>
    <mergeCell ref="B378:G378"/>
    <mergeCell ref="B383:G383"/>
    <mergeCell ref="B388:G388"/>
    <mergeCell ref="B393:G393"/>
    <mergeCell ref="B398:G398"/>
    <mergeCell ref="B406:G406"/>
    <mergeCell ref="B411:G411"/>
    <mergeCell ref="H456:W456"/>
    <mergeCell ref="H436:W436"/>
    <mergeCell ref="H441:W441"/>
    <mergeCell ref="H446:W446"/>
    <mergeCell ref="H451:W451"/>
    <mergeCell ref="H416:W416"/>
    <mergeCell ref="H421:W421"/>
    <mergeCell ref="H426:W426"/>
    <mergeCell ref="H431:W431"/>
    <mergeCell ref="B416:G416"/>
    <mergeCell ref="B421:G421"/>
    <mergeCell ref="B426:G426"/>
    <mergeCell ref="B431:G431"/>
    <mergeCell ref="B436:G436"/>
    <mergeCell ref="B441:G44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5EAE-3F3F-4938-BBF8-8959AAC7D7BF}">
  <dimension ref="B1:G43"/>
  <sheetViews>
    <sheetView workbookViewId="0">
      <selection activeCell="A5" sqref="A5:XFD7"/>
    </sheetView>
  </sheetViews>
  <sheetFormatPr baseColWidth="10" defaultColWidth="9.140625" defaultRowHeight="15" x14ac:dyDescent="0.25"/>
  <cols>
    <col min="1" max="1" width="9.140625" style="28"/>
    <col min="2" max="2" width="24" style="28" customWidth="1"/>
    <col min="3" max="3" width="52" style="28" customWidth="1"/>
    <col min="4" max="4" width="41.28515625" style="28" customWidth="1"/>
    <col min="5" max="5" width="31.140625" style="28" customWidth="1"/>
    <col min="6" max="6" width="45.7109375" style="28" customWidth="1"/>
    <col min="7" max="7" width="38" style="28" customWidth="1"/>
    <col min="8" max="16384" width="9.140625" style="28"/>
  </cols>
  <sheetData>
    <row r="1" spans="2:7" ht="33.950000000000003" customHeight="1" x14ac:dyDescent="0.25">
      <c r="B1" s="1164" t="s">
        <v>5090</v>
      </c>
      <c r="C1" s="1164"/>
      <c r="D1" s="1164"/>
      <c r="E1" s="1164"/>
      <c r="F1" s="1164"/>
      <c r="G1" s="1164"/>
    </row>
    <row r="2" spans="2:7" ht="45.95" customHeight="1" x14ac:dyDescent="0.25">
      <c r="B2" s="1165" t="s">
        <v>5091</v>
      </c>
      <c r="C2" s="1166" t="s">
        <v>5092</v>
      </c>
      <c r="D2" s="1167"/>
      <c r="E2" s="1167"/>
      <c r="F2" s="1167"/>
      <c r="G2" s="1167"/>
    </row>
    <row r="3" spans="2:7" ht="12.75" customHeight="1" x14ac:dyDescent="0.25">
      <c r="B3" s="98" t="s">
        <v>5193</v>
      </c>
      <c r="C3" s="1168"/>
      <c r="D3" s="1168"/>
      <c r="E3" s="1168"/>
      <c r="F3" s="1168"/>
      <c r="G3" s="1168"/>
    </row>
    <row r="4" spans="2:7" ht="30.75" customHeight="1" x14ac:dyDescent="0.25">
      <c r="B4" s="1169" t="s">
        <v>5093</v>
      </c>
      <c r="C4" s="1170"/>
      <c r="D4" s="1170"/>
      <c r="E4" s="1170"/>
      <c r="F4" s="1170"/>
      <c r="G4" s="1170"/>
    </row>
    <row r="5" spans="2:7" ht="45.95" customHeight="1" x14ac:dyDescent="0.25">
      <c r="B5" s="1171" t="s">
        <v>5094</v>
      </c>
      <c r="C5" s="1172" t="s">
        <v>5095</v>
      </c>
      <c r="D5" s="1172"/>
      <c r="E5" s="1172"/>
      <c r="F5" s="1172"/>
      <c r="G5" s="1172"/>
    </row>
    <row r="6" spans="2:7" ht="45.95" customHeight="1" x14ac:dyDescent="0.25">
      <c r="B6" s="1171" t="s">
        <v>5096</v>
      </c>
      <c r="C6" s="1173" t="s">
        <v>5097</v>
      </c>
      <c r="D6" s="1174"/>
      <c r="E6" s="1174"/>
      <c r="F6" s="1174"/>
      <c r="G6" s="1174"/>
    </row>
    <row r="7" spans="2:7" ht="45.95" customHeight="1" x14ac:dyDescent="0.25">
      <c r="B7" s="1171" t="s">
        <v>5098</v>
      </c>
      <c r="C7" s="1175" t="s">
        <v>5099</v>
      </c>
      <c r="D7" s="1174"/>
      <c r="E7" s="1174"/>
      <c r="F7" s="1174"/>
      <c r="G7" s="1174"/>
    </row>
    <row r="8" spans="2:7" ht="12.75" customHeight="1" x14ac:dyDescent="0.25">
      <c r="B8" s="1168"/>
      <c r="C8" s="1168"/>
      <c r="D8" s="1168"/>
      <c r="E8" s="1168"/>
      <c r="F8" s="1168"/>
      <c r="G8" s="1168"/>
    </row>
    <row r="9" spans="2:7" ht="30.75" customHeight="1" x14ac:dyDescent="0.25">
      <c r="B9" s="1169" t="s">
        <v>5100</v>
      </c>
      <c r="C9" s="1170"/>
      <c r="D9" s="1170"/>
      <c r="E9" s="1170"/>
      <c r="F9" s="1170"/>
      <c r="G9" s="1170"/>
    </row>
    <row r="10" spans="2:7" ht="27.75" customHeight="1" x14ac:dyDescent="0.25">
      <c r="B10" s="1176" t="s">
        <v>3594</v>
      </c>
      <c r="C10" s="1176" t="s">
        <v>5101</v>
      </c>
      <c r="D10" s="1176" t="s">
        <v>2409</v>
      </c>
      <c r="E10" s="1176" t="s">
        <v>5066</v>
      </c>
      <c r="F10" s="1176" t="s">
        <v>5102</v>
      </c>
      <c r="G10" s="1176" t="s">
        <v>5103</v>
      </c>
    </row>
    <row r="11" spans="2:7" ht="50.1" customHeight="1" x14ac:dyDescent="0.25">
      <c r="B11" s="1168" t="s">
        <v>5104</v>
      </c>
      <c r="C11" s="1168" t="s">
        <v>5105</v>
      </c>
      <c r="D11" s="1168" t="s">
        <v>5106</v>
      </c>
      <c r="E11" s="1168" t="s">
        <v>5107</v>
      </c>
      <c r="F11" s="1168" t="s">
        <v>5108</v>
      </c>
      <c r="G11" s="1168" t="s">
        <v>5109</v>
      </c>
    </row>
    <row r="12" spans="2:7" ht="50.1" customHeight="1" x14ac:dyDescent="0.25">
      <c r="B12" s="1168" t="s">
        <v>5110</v>
      </c>
      <c r="C12" s="1168" t="s">
        <v>5111</v>
      </c>
      <c r="D12" s="1168" t="s">
        <v>5112</v>
      </c>
      <c r="E12" s="1168" t="s">
        <v>5113</v>
      </c>
      <c r="F12" s="1168" t="s">
        <v>5114</v>
      </c>
      <c r="G12" s="1168" t="s">
        <v>5115</v>
      </c>
    </row>
    <row r="13" spans="2:7" ht="50.1" customHeight="1" x14ac:dyDescent="0.25">
      <c r="B13" s="1168" t="s">
        <v>5116</v>
      </c>
      <c r="C13" s="1168" t="s">
        <v>5117</v>
      </c>
      <c r="D13" s="1168" t="s">
        <v>5118</v>
      </c>
      <c r="E13" s="1168" t="s">
        <v>5119</v>
      </c>
      <c r="F13" s="1168" t="s">
        <v>5120</v>
      </c>
      <c r="G13" s="1168" t="s">
        <v>5121</v>
      </c>
    </row>
    <row r="14" spans="2:7" ht="50.1" customHeight="1" x14ac:dyDescent="0.25">
      <c r="B14" s="1168" t="s">
        <v>2426</v>
      </c>
      <c r="C14" s="1168" t="s">
        <v>5122</v>
      </c>
      <c r="D14" s="1168" t="s">
        <v>5123</v>
      </c>
      <c r="E14" s="1168" t="s">
        <v>5124</v>
      </c>
      <c r="F14" s="1168" t="s">
        <v>5125</v>
      </c>
      <c r="G14" s="1168" t="s">
        <v>5126</v>
      </c>
    </row>
    <row r="15" spans="2:7" ht="50.1" customHeight="1" x14ac:dyDescent="0.25">
      <c r="B15" s="1168" t="s">
        <v>2048</v>
      </c>
      <c r="C15" s="1168" t="s">
        <v>5127</v>
      </c>
      <c r="D15" s="1168" t="s">
        <v>5128</v>
      </c>
      <c r="E15" s="1168" t="s">
        <v>5129</v>
      </c>
      <c r="F15" s="1168" t="s">
        <v>5130</v>
      </c>
      <c r="G15" s="1168" t="s">
        <v>5131</v>
      </c>
    </row>
    <row r="16" spans="2:7" ht="50.1" customHeight="1" x14ac:dyDescent="0.25">
      <c r="B16" s="1168" t="s">
        <v>5033</v>
      </c>
      <c r="C16" s="1168" t="s">
        <v>5132</v>
      </c>
      <c r="D16" s="1168" t="s">
        <v>5133</v>
      </c>
      <c r="E16" s="1168" t="s">
        <v>5134</v>
      </c>
      <c r="F16" s="1168" t="s">
        <v>5135</v>
      </c>
      <c r="G16" s="1168" t="s">
        <v>5136</v>
      </c>
    </row>
    <row r="17" spans="2:7" ht="50.1" customHeight="1" x14ac:dyDescent="0.25">
      <c r="B17" s="1168" t="s">
        <v>5137</v>
      </c>
      <c r="C17" s="1168" t="s">
        <v>5138</v>
      </c>
      <c r="D17" s="1168" t="s">
        <v>5139</v>
      </c>
      <c r="E17" s="1168" t="s">
        <v>5140</v>
      </c>
      <c r="F17" s="1168" t="s">
        <v>5141</v>
      </c>
      <c r="G17" s="1168" t="s">
        <v>5142</v>
      </c>
    </row>
    <row r="18" spans="2:7" ht="45.95" customHeight="1" x14ac:dyDescent="0.25">
      <c r="B18" s="1168"/>
      <c r="C18" s="1168"/>
      <c r="D18" s="1168"/>
      <c r="E18" s="1168"/>
      <c r="F18" s="1168"/>
      <c r="G18" s="1168"/>
    </row>
    <row r="19" spans="2:7" ht="30.75" customHeight="1" x14ac:dyDescent="0.25">
      <c r="B19" s="1169" t="s">
        <v>5143</v>
      </c>
      <c r="C19" s="1170"/>
      <c r="D19" s="1170"/>
      <c r="E19" s="1170"/>
      <c r="F19" s="1170"/>
      <c r="G19" s="1170"/>
    </row>
    <row r="20" spans="2:7" ht="24.75" customHeight="1" x14ac:dyDescent="0.25">
      <c r="B20" s="1176" t="s">
        <v>5028</v>
      </c>
      <c r="C20" s="1176" t="s">
        <v>5027</v>
      </c>
      <c r="D20" s="1176" t="s">
        <v>5144</v>
      </c>
      <c r="E20" s="1176" t="s">
        <v>5026</v>
      </c>
      <c r="F20" s="1176" t="s">
        <v>2428</v>
      </c>
      <c r="G20" s="1177"/>
    </row>
    <row r="21" spans="2:7" ht="50.1" customHeight="1" x14ac:dyDescent="0.25">
      <c r="B21" s="997" t="s">
        <v>4981</v>
      </c>
      <c r="C21" s="1178" t="s">
        <v>5145</v>
      </c>
      <c r="D21" s="1179" t="s">
        <v>5146</v>
      </c>
      <c r="E21" s="1168" t="s">
        <v>5147</v>
      </c>
      <c r="F21" s="1168" t="s">
        <v>5148</v>
      </c>
      <c r="G21" s="1168"/>
    </row>
    <row r="22" spans="2:7" ht="50.1" customHeight="1" x14ac:dyDescent="0.25">
      <c r="B22" s="997" t="s">
        <v>4979</v>
      </c>
      <c r="C22" s="1178" t="s">
        <v>5149</v>
      </c>
      <c r="D22" s="1179" t="s">
        <v>5150</v>
      </c>
      <c r="E22" s="1168" t="s">
        <v>5151</v>
      </c>
      <c r="F22" s="1168" t="s">
        <v>5152</v>
      </c>
      <c r="G22" s="1168"/>
    </row>
    <row r="23" spans="2:7" ht="50.1" customHeight="1" x14ac:dyDescent="0.25">
      <c r="B23" s="997" t="s">
        <v>4977</v>
      </c>
      <c r="C23" s="1178" t="s">
        <v>5153</v>
      </c>
      <c r="D23" s="1179" t="s">
        <v>5154</v>
      </c>
      <c r="E23" s="1168" t="s">
        <v>5155</v>
      </c>
      <c r="F23" s="1168" t="s">
        <v>5156</v>
      </c>
      <c r="G23" s="1168"/>
    </row>
    <row r="24" spans="2:7" ht="50.1" customHeight="1" x14ac:dyDescent="0.25">
      <c r="B24" s="997" t="s">
        <v>4975</v>
      </c>
      <c r="C24" s="1178" t="s">
        <v>5157</v>
      </c>
      <c r="D24" s="1179" t="s">
        <v>5158</v>
      </c>
      <c r="E24" s="1168" t="s">
        <v>5159</v>
      </c>
      <c r="F24" s="1168" t="s">
        <v>5160</v>
      </c>
      <c r="G24" s="1168"/>
    </row>
    <row r="25" spans="2:7" ht="50.1" customHeight="1" x14ac:dyDescent="0.25">
      <c r="B25" s="997" t="s">
        <v>4973</v>
      </c>
      <c r="C25" s="1178" t="s">
        <v>5161</v>
      </c>
      <c r="D25" s="1179" t="s">
        <v>5162</v>
      </c>
      <c r="E25" s="1168" t="s">
        <v>5163</v>
      </c>
      <c r="F25" s="1168" t="s">
        <v>5164</v>
      </c>
      <c r="G25" s="1168"/>
    </row>
    <row r="26" spans="2:7" ht="50.1" customHeight="1" x14ac:dyDescent="0.25">
      <c r="B26" s="997" t="s">
        <v>4971</v>
      </c>
      <c r="C26" s="1178" t="s">
        <v>5165</v>
      </c>
      <c r="D26" s="1179" t="s">
        <v>5166</v>
      </c>
      <c r="E26" s="1168" t="s">
        <v>5167</v>
      </c>
      <c r="F26" s="1168" t="s">
        <v>5168</v>
      </c>
      <c r="G26" s="1168"/>
    </row>
    <row r="27" spans="2:7" ht="15.75" customHeight="1" x14ac:dyDescent="0.25">
      <c r="B27" s="1168"/>
      <c r="C27" s="1168"/>
      <c r="D27" s="1168"/>
      <c r="E27" s="1168"/>
      <c r="F27" s="1168"/>
      <c r="G27" s="1168"/>
    </row>
    <row r="28" spans="2:7" ht="30.75" customHeight="1" x14ac:dyDescent="0.25">
      <c r="B28" s="1169" t="s">
        <v>5169</v>
      </c>
      <c r="C28" s="1170"/>
      <c r="D28" s="1170"/>
      <c r="E28" s="1170"/>
      <c r="F28" s="1170"/>
      <c r="G28" s="1170"/>
    </row>
    <row r="29" spans="2:7" ht="23.25" customHeight="1" x14ac:dyDescent="0.25">
      <c r="B29" s="1176" t="s">
        <v>4982</v>
      </c>
      <c r="C29" s="1176" t="s">
        <v>5170</v>
      </c>
      <c r="D29" s="1176"/>
      <c r="E29" s="1177"/>
      <c r="F29" s="1177"/>
      <c r="G29" s="1177"/>
    </row>
    <row r="30" spans="2:7" ht="45.95" customHeight="1" x14ac:dyDescent="0.25">
      <c r="B30" s="1180" t="s">
        <v>5171</v>
      </c>
      <c r="C30" s="97" t="s">
        <v>5172</v>
      </c>
      <c r="D30" s="1174"/>
      <c r="E30" s="1174"/>
      <c r="F30" s="1174"/>
      <c r="G30" s="1174"/>
    </row>
    <row r="31" spans="2:7" ht="45.95" customHeight="1" x14ac:dyDescent="0.25">
      <c r="B31" s="1180" t="s">
        <v>5173</v>
      </c>
      <c r="C31" s="97" t="s">
        <v>5174</v>
      </c>
      <c r="D31" s="1174"/>
      <c r="E31" s="1174"/>
      <c r="F31" s="1174"/>
      <c r="G31" s="1174"/>
    </row>
    <row r="32" spans="2:7" ht="45.95" customHeight="1" x14ac:dyDescent="0.25">
      <c r="B32" s="1180" t="s">
        <v>5175</v>
      </c>
      <c r="C32" s="97" t="s">
        <v>5176</v>
      </c>
      <c r="D32" s="1174"/>
      <c r="E32" s="1174"/>
      <c r="F32" s="1174"/>
      <c r="G32" s="1174"/>
    </row>
    <row r="33" spans="2:7" ht="45.95" customHeight="1" x14ac:dyDescent="0.25">
      <c r="B33" s="1180" t="s">
        <v>5177</v>
      </c>
      <c r="C33" s="97" t="s">
        <v>5178</v>
      </c>
      <c r="D33" s="1174"/>
      <c r="E33" s="1174"/>
      <c r="F33" s="1174"/>
      <c r="G33" s="1174"/>
    </row>
    <row r="34" spans="2:7" ht="15.75" customHeight="1" x14ac:dyDescent="0.25">
      <c r="B34" s="1168"/>
      <c r="C34" s="1168"/>
      <c r="D34" s="1168"/>
      <c r="E34" s="1168"/>
      <c r="F34" s="1168"/>
      <c r="G34" s="1168"/>
    </row>
    <row r="35" spans="2:7" ht="30.75" customHeight="1" x14ac:dyDescent="0.25">
      <c r="B35" s="1169" t="s">
        <v>5179</v>
      </c>
      <c r="C35" s="1170"/>
      <c r="D35" s="1170"/>
      <c r="E35" s="1170"/>
      <c r="F35" s="1170"/>
      <c r="G35" s="1170"/>
    </row>
    <row r="36" spans="2:7" ht="26.25" customHeight="1" x14ac:dyDescent="0.25">
      <c r="B36" s="1176" t="s">
        <v>5180</v>
      </c>
      <c r="C36" s="1176" t="s">
        <v>5026</v>
      </c>
      <c r="D36" s="1176" t="s">
        <v>2522</v>
      </c>
      <c r="E36" s="1177"/>
      <c r="F36" s="1177"/>
      <c r="G36" s="1177"/>
    </row>
    <row r="37" spans="2:7" ht="35.1" customHeight="1" x14ac:dyDescent="0.25">
      <c r="B37" s="1181" t="s">
        <v>5181</v>
      </c>
      <c r="C37" s="1182" t="s">
        <v>5182</v>
      </c>
      <c r="D37" s="97" t="s">
        <v>5183</v>
      </c>
      <c r="E37" s="1174"/>
      <c r="F37" s="1174"/>
      <c r="G37" s="1174"/>
    </row>
    <row r="38" spans="2:7" ht="35.1" customHeight="1" x14ac:dyDescent="0.25">
      <c r="B38" s="1181" t="s">
        <v>5084</v>
      </c>
      <c r="C38" s="1182" t="s">
        <v>5085</v>
      </c>
      <c r="D38" s="97" t="s">
        <v>5184</v>
      </c>
      <c r="E38" s="1174"/>
      <c r="F38" s="1174"/>
      <c r="G38" s="1174"/>
    </row>
    <row r="39" spans="2:7" ht="35.1" customHeight="1" x14ac:dyDescent="0.25">
      <c r="B39" s="1181" t="s">
        <v>4965</v>
      </c>
      <c r="C39" s="1182" t="s">
        <v>5085</v>
      </c>
      <c r="D39" s="97" t="s">
        <v>5185</v>
      </c>
      <c r="E39" s="1174"/>
      <c r="F39" s="1174"/>
      <c r="G39" s="1174"/>
    </row>
    <row r="40" spans="2:7" ht="35.1" customHeight="1" x14ac:dyDescent="0.25">
      <c r="B40" s="1181" t="s">
        <v>4964</v>
      </c>
      <c r="C40" s="1182" t="s">
        <v>5182</v>
      </c>
      <c r="D40" s="97" t="s">
        <v>5186</v>
      </c>
      <c r="E40" s="1174"/>
      <c r="F40" s="1174"/>
      <c r="G40" s="1174"/>
    </row>
    <row r="41" spans="2:7" ht="35.1" customHeight="1" x14ac:dyDescent="0.25">
      <c r="B41" s="1181" t="s">
        <v>5187</v>
      </c>
      <c r="C41" s="1182" t="s">
        <v>5188</v>
      </c>
      <c r="D41" s="97" t="s">
        <v>5189</v>
      </c>
      <c r="E41" s="1174"/>
      <c r="F41" s="1174"/>
      <c r="G41" s="1174"/>
    </row>
    <row r="42" spans="2:7" ht="35.1" customHeight="1" x14ac:dyDescent="0.25">
      <c r="B42" s="1181" t="s">
        <v>5190</v>
      </c>
      <c r="C42" s="1182" t="s">
        <v>5191</v>
      </c>
      <c r="D42" s="97" t="s">
        <v>5192</v>
      </c>
      <c r="E42" s="1174"/>
      <c r="F42" s="1174"/>
      <c r="G42" s="1174"/>
    </row>
    <row r="43" spans="2:7" x14ac:dyDescent="0.25">
      <c r="B43" s="97"/>
      <c r="C43" s="97"/>
      <c r="D43" s="97"/>
      <c r="E43" s="97"/>
      <c r="F43" s="97"/>
      <c r="G43" s="97"/>
    </row>
  </sheetData>
  <mergeCells count="1">
    <mergeCell ref="C5:G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94ECF-567B-4494-B6CC-E484BF6C5E2B}">
  <dimension ref="A1:AE47"/>
  <sheetViews>
    <sheetView workbookViewId="0">
      <selection activeCell="A3" sqref="A3"/>
    </sheetView>
  </sheetViews>
  <sheetFormatPr baseColWidth="10" defaultColWidth="9.140625" defaultRowHeight="15.75" x14ac:dyDescent="0.25"/>
  <cols>
    <col min="1" max="1" width="29.42578125" style="28" customWidth="1"/>
    <col min="2" max="2" width="35.140625" style="28" customWidth="1"/>
    <col min="3" max="3" width="23.140625" style="28" customWidth="1"/>
    <col min="4" max="4" width="30" style="28" customWidth="1"/>
    <col min="5" max="5" width="24.85546875" style="28" customWidth="1"/>
    <col min="6" max="6" width="20" style="28" customWidth="1"/>
    <col min="7" max="7" width="23.7109375" style="28" customWidth="1"/>
    <col min="8" max="8" width="44" style="28" customWidth="1"/>
    <col min="9" max="9" width="18" style="28" customWidth="1"/>
    <col min="10" max="14" width="16" style="28" customWidth="1"/>
    <col min="15" max="16" width="15" style="28" customWidth="1"/>
    <col min="17" max="17" width="25.42578125" style="28" customWidth="1"/>
    <col min="18" max="18" width="53.140625" style="28" customWidth="1"/>
    <col min="19" max="19" width="9.140625" style="28"/>
    <col min="20" max="20" width="33.140625" style="993" customWidth="1"/>
    <col min="21" max="21" width="59" style="993" customWidth="1"/>
    <col min="22" max="22" width="34.5703125" style="993" customWidth="1"/>
    <col min="23" max="23" width="33.28515625" style="993" customWidth="1"/>
    <col min="24" max="24" width="35.42578125" style="993" customWidth="1"/>
    <col min="25" max="25" width="38.140625" style="993" customWidth="1"/>
    <col min="26" max="26" width="26.42578125" style="993" customWidth="1"/>
    <col min="27" max="27" width="40" style="993" customWidth="1"/>
    <col min="28" max="28" width="27.140625" style="993" customWidth="1"/>
    <col min="29" max="29" width="58.28515625" style="993" customWidth="1"/>
    <col min="30" max="30" width="45.140625" style="993" customWidth="1"/>
    <col min="31" max="31" width="38" style="993" customWidth="1"/>
    <col min="32" max="16384" width="9.140625" style="28"/>
  </cols>
  <sheetData>
    <row r="1" spans="1:31" ht="27.95" customHeight="1" x14ac:dyDescent="0.25">
      <c r="A1" s="1107" t="s">
        <v>2828</v>
      </c>
      <c r="B1" s="1108"/>
      <c r="C1" s="1108"/>
      <c r="D1" s="1109" t="str">
        <f>TEXT(B9,"# ##0")&amp; " convives/jour"</f>
        <v>4 050 convives/jour</v>
      </c>
      <c r="E1" s="1109"/>
      <c r="F1" s="1109" t="str">
        <f>B12&amp;"  jours de service"</f>
        <v>132  jours de service</v>
      </c>
      <c r="G1" s="1110"/>
      <c r="H1" s="1111" t="str">
        <f>TEXT(E5,"# ##0")&amp;" repas/an"</f>
        <v>534 600 repas/an</v>
      </c>
      <c r="I1" s="1109" t="s">
        <v>4410</v>
      </c>
      <c r="J1" s="1110"/>
      <c r="K1" s="1110"/>
      <c r="L1" s="1110"/>
      <c r="M1" s="1110"/>
      <c r="N1" s="1110"/>
      <c r="O1" s="1110"/>
      <c r="P1" s="1110"/>
      <c r="Q1" s="1110"/>
      <c r="R1" s="1110"/>
      <c r="S1" s="1110"/>
      <c r="T1" s="1110"/>
      <c r="U1" s="1110"/>
      <c r="V1" s="1110"/>
      <c r="W1" s="1110"/>
      <c r="X1" s="1110"/>
      <c r="Y1" s="1110"/>
      <c r="Z1" s="1110"/>
      <c r="AA1" s="1110"/>
      <c r="AB1" s="1110"/>
      <c r="AC1" s="1110"/>
      <c r="AD1" s="1110"/>
      <c r="AE1" s="1112"/>
    </row>
    <row r="2" spans="1:31" ht="33.950000000000003" customHeight="1" x14ac:dyDescent="0.25">
      <c r="A2" s="1113" t="str">
        <f>"Exemple "&amp;B5&amp;" maternelles, "&amp;B6&amp;"  primaires, "&amp;B7&amp;" lycéens, "&amp;B8&amp;"  adultes encadrants. Ouverture "&amp;B10&amp;"  jours/semaine sur "&amp;B11&amp;"  semaines."</f>
        <v>Exemple 520 maternelles, 1250  primaires, 1890 lycéens, 390  adultes encadrants. Ouverture 4  jours/semaine sur 33  semaines.</v>
      </c>
      <c r="B2" s="90"/>
      <c r="C2" s="90"/>
      <c r="D2" s="90"/>
      <c r="E2" s="90"/>
      <c r="F2" s="90"/>
      <c r="G2" s="92"/>
      <c r="H2" s="70" t="s">
        <v>2551</v>
      </c>
      <c r="I2" s="1014" t="s">
        <v>4701</v>
      </c>
      <c r="J2" s="90"/>
      <c r="K2" s="90"/>
      <c r="L2" s="90"/>
      <c r="M2" s="90"/>
      <c r="N2" s="90"/>
      <c r="O2" s="90"/>
      <c r="P2" s="90"/>
      <c r="Q2" s="90"/>
      <c r="R2" s="90"/>
      <c r="S2" s="92"/>
      <c r="T2" s="1114"/>
      <c r="U2" s="1114"/>
      <c r="V2" s="1114"/>
      <c r="W2" s="1114"/>
      <c r="X2" s="1114"/>
      <c r="Y2" s="1114"/>
      <c r="Z2" s="1114"/>
      <c r="AA2" s="1114"/>
      <c r="AB2" s="1114"/>
      <c r="AC2" s="1114"/>
      <c r="AD2" s="1114"/>
      <c r="AE2" s="1114"/>
    </row>
    <row r="3" spans="1:31" x14ac:dyDescent="0.25">
      <c r="A3" s="98" t="s">
        <v>5193</v>
      </c>
      <c r="B3" s="92"/>
      <c r="C3" s="92"/>
      <c r="D3" s="92"/>
      <c r="E3" s="92"/>
      <c r="F3" s="92"/>
      <c r="G3" s="92"/>
      <c r="H3" s="91" t="s">
        <v>2552</v>
      </c>
      <c r="I3" s="92"/>
      <c r="J3" s="92"/>
      <c r="K3" s="92"/>
      <c r="L3" s="92"/>
      <c r="M3" s="92"/>
      <c r="N3" s="92"/>
      <c r="O3" s="92"/>
      <c r="P3" s="92"/>
      <c r="Q3" s="92"/>
      <c r="R3" s="92"/>
      <c r="S3" s="92"/>
      <c r="T3" s="1114"/>
      <c r="U3" s="1114"/>
      <c r="V3" s="1114"/>
      <c r="W3" s="1114"/>
      <c r="X3" s="1114"/>
      <c r="Y3" s="1114"/>
      <c r="Z3" s="1114"/>
      <c r="AA3" s="1114"/>
      <c r="AB3" s="1114"/>
      <c r="AC3" s="1114"/>
      <c r="AD3" s="1114"/>
      <c r="AE3" s="1114"/>
    </row>
    <row r="4" spans="1:31" ht="24.4" customHeight="1" x14ac:dyDescent="0.25">
      <c r="A4" s="1115" t="s">
        <v>2467</v>
      </c>
      <c r="B4" s="1116" t="s">
        <v>2468</v>
      </c>
      <c r="C4" s="1115" t="s">
        <v>2469</v>
      </c>
      <c r="D4" s="1115" t="s">
        <v>2470</v>
      </c>
      <c r="E4" s="1116" t="s">
        <v>2468</v>
      </c>
      <c r="F4" s="1117" t="s">
        <v>2471</v>
      </c>
      <c r="G4" s="1118"/>
      <c r="H4" s="1118"/>
      <c r="I4" s="92"/>
      <c r="J4" s="92"/>
      <c r="K4" s="92"/>
      <c r="L4" s="92"/>
      <c r="M4" s="92"/>
      <c r="N4" s="92"/>
      <c r="O4" s="92"/>
      <c r="P4" s="92"/>
      <c r="Q4" s="92"/>
      <c r="R4" s="92"/>
      <c r="S4" s="92"/>
      <c r="T4" s="1114"/>
      <c r="U4" s="1114"/>
      <c r="V4" s="1114"/>
      <c r="W4" s="1114"/>
      <c r="X4" s="1114"/>
      <c r="Y4" s="1114"/>
      <c r="Z4" s="1114"/>
      <c r="AA4" s="1114"/>
      <c r="AB4" s="1114"/>
      <c r="AC4" s="1114"/>
      <c r="AD4" s="1114"/>
      <c r="AE4" s="1114"/>
    </row>
    <row r="5" spans="1:31" ht="36" customHeight="1" x14ac:dyDescent="0.25">
      <c r="A5" s="71" t="s">
        <v>2472</v>
      </c>
      <c r="B5" s="88">
        <v>520</v>
      </c>
      <c r="C5" s="1119" t="s">
        <v>2473</v>
      </c>
      <c r="D5" s="1120" t="s">
        <v>3494</v>
      </c>
      <c r="E5" s="1121">
        <f>B13</f>
        <v>534600</v>
      </c>
      <c r="F5" s="1122" t="s">
        <v>2474</v>
      </c>
      <c r="G5" s="1123"/>
      <c r="H5" s="1124"/>
      <c r="I5" s="92"/>
      <c r="J5" s="92"/>
      <c r="K5" s="92"/>
      <c r="L5" s="92"/>
      <c r="M5" s="92"/>
      <c r="N5" s="92"/>
      <c r="O5" s="92"/>
      <c r="P5" s="92"/>
      <c r="Q5" s="92"/>
      <c r="R5" s="92"/>
      <c r="S5" s="92"/>
      <c r="T5" s="1114"/>
      <c r="U5" s="1114"/>
      <c r="V5" s="1114"/>
      <c r="W5" s="1114"/>
      <c r="X5" s="1114"/>
      <c r="Y5" s="1114"/>
      <c r="Z5" s="1114"/>
      <c r="AA5" s="1114"/>
      <c r="AB5" s="1114"/>
      <c r="AC5" s="1114"/>
      <c r="AD5" s="1114"/>
      <c r="AE5" s="1114"/>
    </row>
    <row r="6" spans="1:31" ht="36" customHeight="1" x14ac:dyDescent="0.25">
      <c r="A6" s="71" t="s">
        <v>2475</v>
      </c>
      <c r="B6" s="88">
        <v>1250</v>
      </c>
      <c r="C6" s="1119" t="s">
        <v>2473</v>
      </c>
      <c r="D6" s="1120" t="s">
        <v>3495</v>
      </c>
      <c r="E6" s="1125">
        <f>E29</f>
        <v>33</v>
      </c>
      <c r="F6" s="1122" t="s">
        <v>2476</v>
      </c>
      <c r="G6" s="1123"/>
      <c r="H6" s="1124"/>
      <c r="I6" s="92"/>
      <c r="J6" s="92"/>
      <c r="K6" s="92"/>
      <c r="L6" s="92"/>
      <c r="M6" s="92"/>
      <c r="N6" s="92"/>
      <c r="O6" s="92"/>
      <c r="P6" s="92"/>
      <c r="Q6" s="92"/>
      <c r="R6" s="92"/>
      <c r="S6" s="92"/>
      <c r="T6" s="1114"/>
      <c r="U6" s="1114"/>
      <c r="V6" s="1114"/>
      <c r="W6" s="1114"/>
      <c r="X6" s="1114"/>
      <c r="Y6" s="1114"/>
      <c r="Z6" s="1114"/>
      <c r="AA6" s="1114"/>
      <c r="AB6" s="1114"/>
      <c r="AC6" s="1114"/>
      <c r="AD6" s="1114"/>
      <c r="AE6" s="1114"/>
    </row>
    <row r="7" spans="1:31" ht="36" customHeight="1" x14ac:dyDescent="0.25">
      <c r="A7" s="71" t="s">
        <v>2477</v>
      </c>
      <c r="B7" s="88">
        <v>1890</v>
      </c>
      <c r="C7" s="1119" t="s">
        <v>2473</v>
      </c>
      <c r="D7" s="1120" t="s">
        <v>3496</v>
      </c>
      <c r="E7" s="1125" t="str">
        <f>TEXT(F29,"# ##0")</f>
        <v>133 650</v>
      </c>
      <c r="F7" s="1122" t="s">
        <v>2478</v>
      </c>
      <c r="G7" s="1123"/>
      <c r="H7" s="1124"/>
      <c r="I7" s="92"/>
      <c r="J7" s="92"/>
      <c r="K7" s="92"/>
      <c r="L7" s="92"/>
      <c r="M7" s="92"/>
      <c r="N7" s="92"/>
      <c r="O7" s="92"/>
      <c r="P7" s="92"/>
      <c r="Q7" s="92"/>
      <c r="R7" s="92"/>
      <c r="S7" s="92"/>
      <c r="T7" s="1114"/>
      <c r="U7" s="1114"/>
      <c r="V7" s="1114"/>
      <c r="W7" s="1114"/>
      <c r="X7" s="1114"/>
      <c r="Y7" s="1114"/>
      <c r="Z7" s="1114"/>
      <c r="AA7" s="1114"/>
      <c r="AB7" s="1114"/>
      <c r="AC7" s="1114"/>
      <c r="AD7" s="1114"/>
      <c r="AE7" s="1114"/>
    </row>
    <row r="8" spans="1:31" ht="36" customHeight="1" x14ac:dyDescent="0.25">
      <c r="A8" s="71" t="s">
        <v>2479</v>
      </c>
      <c r="B8" s="88">
        <v>390</v>
      </c>
      <c r="C8" s="1119" t="s">
        <v>2473</v>
      </c>
      <c r="D8" s="1120" t="s">
        <v>3497</v>
      </c>
      <c r="E8" s="1125">
        <f>G29</f>
        <v>23</v>
      </c>
      <c r="F8" s="1122" t="s">
        <v>2480</v>
      </c>
      <c r="G8" s="1123"/>
      <c r="H8" s="1124"/>
      <c r="I8" s="92"/>
      <c r="J8" s="92"/>
      <c r="K8" s="92"/>
      <c r="L8" s="92"/>
      <c r="M8" s="92"/>
      <c r="N8" s="92"/>
      <c r="O8" s="92"/>
      <c r="P8" s="92"/>
      <c r="Q8" s="92"/>
      <c r="R8" s="92"/>
      <c r="S8" s="92"/>
      <c r="T8" s="1114"/>
      <c r="U8" s="1114"/>
      <c r="V8" s="1114"/>
      <c r="W8" s="1114"/>
      <c r="X8" s="1114"/>
      <c r="Y8" s="1114"/>
      <c r="Z8" s="1114"/>
      <c r="AA8" s="1114"/>
      <c r="AB8" s="1114"/>
      <c r="AC8" s="1114"/>
      <c r="AD8" s="1114"/>
      <c r="AE8" s="1114"/>
    </row>
    <row r="9" spans="1:31" ht="36" customHeight="1" x14ac:dyDescent="0.25">
      <c r="A9" s="71" t="s">
        <v>2481</v>
      </c>
      <c r="B9" s="1126">
        <f>SUM(B5:B8)</f>
        <v>4050</v>
      </c>
      <c r="C9" s="1119" t="s">
        <v>2482</v>
      </c>
      <c r="D9" s="1120" t="s">
        <v>3498</v>
      </c>
      <c r="E9" s="1125">
        <f>H29</f>
        <v>3</v>
      </c>
      <c r="F9" s="1122" t="s">
        <v>2483</v>
      </c>
      <c r="G9" s="1123"/>
      <c r="H9" s="1124"/>
      <c r="I9" s="92"/>
      <c r="J9" s="92"/>
      <c r="K9" s="92"/>
      <c r="L9" s="92"/>
      <c r="M9" s="92"/>
      <c r="N9" s="92"/>
      <c r="O9" s="92"/>
      <c r="P9" s="92"/>
      <c r="Q9" s="92"/>
      <c r="R9" s="92"/>
      <c r="S9" s="92"/>
      <c r="T9" s="1114"/>
      <c r="U9" s="1114"/>
      <c r="V9" s="1114"/>
      <c r="W9" s="1114"/>
      <c r="X9" s="1114"/>
      <c r="Y9" s="1114"/>
      <c r="Z9" s="1114"/>
      <c r="AA9" s="1114"/>
      <c r="AB9" s="1114"/>
      <c r="AC9" s="1114"/>
      <c r="AD9" s="1114"/>
      <c r="AE9" s="1114"/>
    </row>
    <row r="10" spans="1:31" ht="36" customHeight="1" x14ac:dyDescent="0.25">
      <c r="A10" s="71" t="s">
        <v>2484</v>
      </c>
      <c r="B10" s="88">
        <v>4</v>
      </c>
      <c r="C10" s="1119" t="s">
        <v>2485</v>
      </c>
      <c r="D10" s="1120" t="s">
        <v>3499</v>
      </c>
      <c r="E10" s="1125">
        <f>I29</f>
        <v>2</v>
      </c>
      <c r="F10" s="1122" t="s">
        <v>2486</v>
      </c>
      <c r="G10" s="1123"/>
      <c r="H10" s="1124"/>
      <c r="I10" s="92"/>
      <c r="J10" s="92"/>
      <c r="K10" s="92"/>
      <c r="L10" s="92"/>
      <c r="M10" s="92"/>
      <c r="N10" s="92"/>
      <c r="O10" s="92"/>
      <c r="P10" s="92"/>
      <c r="Q10" s="92"/>
      <c r="R10" s="92"/>
      <c r="S10" s="92"/>
      <c r="T10" s="1114"/>
      <c r="U10" s="1114"/>
      <c r="V10" s="1114"/>
      <c r="W10" s="1114"/>
      <c r="X10" s="1114"/>
      <c r="Y10" s="1114"/>
      <c r="Z10" s="1114"/>
      <c r="AA10" s="1114"/>
      <c r="AB10" s="1114"/>
      <c r="AC10" s="1114"/>
      <c r="AD10" s="1114"/>
      <c r="AE10" s="1114"/>
    </row>
    <row r="11" spans="1:31" ht="36" customHeight="1" x14ac:dyDescent="0.25">
      <c r="A11" s="71" t="s">
        <v>2487</v>
      </c>
      <c r="B11" s="88">
        <v>33</v>
      </c>
      <c r="C11" s="1119" t="s">
        <v>2485</v>
      </c>
      <c r="D11" s="1127" t="s">
        <v>3500</v>
      </c>
      <c r="E11" s="1125" t="str">
        <f>TEXT(N29,"# ##0")</f>
        <v>71 847</v>
      </c>
      <c r="F11" s="1122" t="s">
        <v>2488</v>
      </c>
      <c r="G11" s="1123"/>
      <c r="H11" s="1124"/>
      <c r="I11" s="92"/>
      <c r="J11" s="92"/>
      <c r="K11" s="92"/>
      <c r="L11" s="92"/>
      <c r="M11" s="92"/>
      <c r="N11" s="92"/>
      <c r="O11" s="92"/>
      <c r="P11" s="92"/>
      <c r="Q11" s="92"/>
      <c r="R11" s="92"/>
      <c r="S11" s="92"/>
      <c r="T11" s="1114"/>
      <c r="U11" s="1114"/>
      <c r="V11" s="1114"/>
      <c r="W11" s="1114"/>
      <c r="X11" s="1114"/>
      <c r="Y11" s="1114"/>
      <c r="Z11" s="1114"/>
      <c r="AA11" s="1114"/>
      <c r="AB11" s="1114"/>
      <c r="AC11" s="1114"/>
      <c r="AD11" s="1114"/>
      <c r="AE11" s="1114"/>
    </row>
    <row r="12" spans="1:31" ht="36" customHeight="1" x14ac:dyDescent="0.25">
      <c r="A12" s="71" t="s">
        <v>2489</v>
      </c>
      <c r="B12" s="1126">
        <f>B10*B11</f>
        <v>132</v>
      </c>
      <c r="C12" s="1119" t="s">
        <v>2490</v>
      </c>
      <c r="D12" s="1128" t="s">
        <v>3501</v>
      </c>
      <c r="E12" s="1129">
        <f>O29</f>
        <v>70.060606060606062</v>
      </c>
      <c r="F12" s="1122" t="s">
        <v>2491</v>
      </c>
      <c r="G12" s="1123"/>
      <c r="H12" s="1124"/>
      <c r="I12" s="92"/>
      <c r="J12" s="92"/>
      <c r="K12" s="92"/>
      <c r="L12" s="92"/>
      <c r="M12" s="92"/>
      <c r="N12" s="92"/>
      <c r="O12" s="92"/>
      <c r="P12" s="92"/>
      <c r="Q12" s="92"/>
      <c r="R12" s="92"/>
      <c r="S12" s="92"/>
      <c r="T12" s="1114"/>
      <c r="U12" s="1114"/>
      <c r="V12" s="1114"/>
      <c r="W12" s="1114"/>
      <c r="X12" s="1114"/>
      <c r="Y12" s="1114"/>
      <c r="Z12" s="1114"/>
      <c r="AA12" s="1114"/>
      <c r="AB12" s="1114"/>
      <c r="AC12" s="1114"/>
      <c r="AD12" s="1114"/>
      <c r="AE12" s="1114"/>
    </row>
    <row r="13" spans="1:31" ht="36" customHeight="1" x14ac:dyDescent="0.25">
      <c r="A13" s="71" t="s">
        <v>2492</v>
      </c>
      <c r="B13" s="1126">
        <f>B9*B12</f>
        <v>534600</v>
      </c>
      <c r="C13" s="1119" t="s">
        <v>2493</v>
      </c>
      <c r="D13" s="1128" t="s">
        <v>3502</v>
      </c>
      <c r="E13" s="1130">
        <f>P29</f>
        <v>76.060606060606062</v>
      </c>
      <c r="F13" s="1122" t="s">
        <v>2494</v>
      </c>
      <c r="G13" s="1123"/>
      <c r="H13" s="1124"/>
      <c r="I13" s="92"/>
      <c r="J13" s="92"/>
      <c r="K13" s="92"/>
      <c r="L13" s="92"/>
      <c r="M13" s="92"/>
      <c r="N13" s="92"/>
      <c r="O13" s="92"/>
      <c r="P13" s="92"/>
      <c r="Q13" s="92"/>
      <c r="R13" s="92"/>
      <c r="S13" s="92"/>
      <c r="T13" s="1114"/>
      <c r="U13" s="1114"/>
      <c r="V13" s="1114"/>
      <c r="W13" s="1114"/>
      <c r="X13" s="1114"/>
      <c r="Y13" s="1114"/>
      <c r="Z13" s="1114"/>
      <c r="AA13" s="1114"/>
      <c r="AB13" s="1114"/>
      <c r="AC13" s="1114"/>
      <c r="AD13" s="1114"/>
      <c r="AE13" s="1114"/>
    </row>
    <row r="14" spans="1:31" ht="30" customHeight="1" thickBot="1" x14ac:dyDescent="0.3">
      <c r="A14" s="73" t="s">
        <v>2495</v>
      </c>
      <c r="B14" s="89">
        <v>1</v>
      </c>
      <c r="C14" s="1131" t="s">
        <v>2496</v>
      </c>
      <c r="D14" s="1132"/>
      <c r="E14" s="1133"/>
      <c r="F14" s="1134"/>
      <c r="G14" s="1135"/>
      <c r="H14" s="1136"/>
      <c r="I14" s="92"/>
      <c r="J14" s="92"/>
      <c r="K14" s="92"/>
      <c r="L14" s="92"/>
      <c r="M14" s="92"/>
      <c r="N14" s="92"/>
      <c r="O14" s="92"/>
      <c r="P14" s="92"/>
      <c r="Q14" s="92"/>
      <c r="R14" s="215" t="s">
        <v>3503</v>
      </c>
      <c r="T14" s="74" t="s">
        <v>2770</v>
      </c>
      <c r="U14" s="74"/>
      <c r="V14" s="74"/>
      <c r="W14" s="74"/>
      <c r="X14" s="74"/>
      <c r="Y14" s="74"/>
      <c r="Z14" s="74"/>
      <c r="AA14" s="74"/>
      <c r="AB14" s="74"/>
      <c r="AC14" s="74"/>
      <c r="AD14" s="74"/>
      <c r="AE14" s="74"/>
    </row>
    <row r="15" spans="1:31" ht="30" customHeight="1" x14ac:dyDescent="0.25">
      <c r="A15" s="1041">
        <f t="shared" ref="A15:R15" ca="1" si="0">INDEX(CELL("largeur",A15),1,1)</f>
        <v>29</v>
      </c>
      <c r="B15" s="1041">
        <f t="shared" ca="1" si="0"/>
        <v>34</v>
      </c>
      <c r="C15" s="1041">
        <f t="shared" ca="1" si="0"/>
        <v>22</v>
      </c>
      <c r="D15" s="1041">
        <f t="shared" ca="1" si="0"/>
        <v>29</v>
      </c>
      <c r="E15" s="1041">
        <f t="shared" ca="1" si="0"/>
        <v>24</v>
      </c>
      <c r="F15" s="1041">
        <f t="shared" ca="1" si="0"/>
        <v>19</v>
      </c>
      <c r="G15" s="1041">
        <f t="shared" ca="1" si="0"/>
        <v>23</v>
      </c>
      <c r="H15" s="1041">
        <f t="shared" ca="1" si="0"/>
        <v>43</v>
      </c>
      <c r="I15" s="1041">
        <f t="shared" ca="1" si="0"/>
        <v>17</v>
      </c>
      <c r="J15" s="1041">
        <f t="shared" ca="1" si="0"/>
        <v>15</v>
      </c>
      <c r="K15" s="1041">
        <f t="shared" ca="1" si="0"/>
        <v>15</v>
      </c>
      <c r="L15" s="1041">
        <f t="shared" ca="1" si="0"/>
        <v>15</v>
      </c>
      <c r="M15" s="1041">
        <f t="shared" ca="1" si="0"/>
        <v>15</v>
      </c>
      <c r="N15" s="1041">
        <f t="shared" ca="1" si="0"/>
        <v>15</v>
      </c>
      <c r="O15" s="1041">
        <f t="shared" ca="1" si="0"/>
        <v>14</v>
      </c>
      <c r="P15" s="1041">
        <f t="shared" ca="1" si="0"/>
        <v>14</v>
      </c>
      <c r="Q15" s="1041">
        <f t="shared" ca="1" si="0"/>
        <v>25</v>
      </c>
      <c r="R15" s="1041">
        <f t="shared" ca="1" si="0"/>
        <v>52</v>
      </c>
      <c r="T15" s="74" t="s">
        <v>2771</v>
      </c>
      <c r="U15" s="74"/>
      <c r="V15" s="74"/>
      <c r="W15" s="74"/>
      <c r="X15" s="74"/>
      <c r="Y15" s="74"/>
      <c r="Z15" s="74"/>
      <c r="AA15" s="74"/>
      <c r="AB15" s="74"/>
      <c r="AC15" s="74"/>
      <c r="AD15" s="74"/>
      <c r="AE15" s="74"/>
    </row>
    <row r="16" spans="1:31" ht="30" customHeight="1" x14ac:dyDescent="0.25">
      <c r="A16" s="1137" t="s">
        <v>1959</v>
      </c>
      <c r="B16" s="1137" t="s">
        <v>2497</v>
      </c>
      <c r="C16" s="1137" t="s">
        <v>2498</v>
      </c>
      <c r="D16" s="1137" t="s">
        <v>2499</v>
      </c>
      <c r="E16" s="1137" t="s">
        <v>1960</v>
      </c>
      <c r="F16" s="1137" t="s">
        <v>2500</v>
      </c>
      <c r="G16" s="1137" t="s">
        <v>2501</v>
      </c>
      <c r="H16" s="1137" t="s">
        <v>1961</v>
      </c>
      <c r="I16" s="1137" t="s">
        <v>1962</v>
      </c>
      <c r="J16" s="1137" t="s">
        <v>2502</v>
      </c>
      <c r="K16" s="1137" t="s">
        <v>2503</v>
      </c>
      <c r="L16" s="1137" t="s">
        <v>2504</v>
      </c>
      <c r="M16" s="1137" t="s">
        <v>2505</v>
      </c>
      <c r="N16" s="1137" t="s">
        <v>2506</v>
      </c>
      <c r="O16" s="1137" t="s">
        <v>2507</v>
      </c>
      <c r="P16" s="1137" t="s">
        <v>2508</v>
      </c>
      <c r="Q16" s="1137" t="s">
        <v>2509</v>
      </c>
      <c r="R16" s="1137" t="s">
        <v>2510</v>
      </c>
      <c r="T16" s="75" t="s">
        <v>2772</v>
      </c>
      <c r="U16" s="75" t="s">
        <v>2773</v>
      </c>
      <c r="V16" s="75" t="s">
        <v>2774</v>
      </c>
      <c r="W16" s="75" t="s">
        <v>2775</v>
      </c>
      <c r="X16" s="75" t="s">
        <v>2776</v>
      </c>
      <c r="Y16" s="75" t="s">
        <v>2777</v>
      </c>
      <c r="Z16" s="75" t="s">
        <v>2778</v>
      </c>
      <c r="AA16" s="75" t="s">
        <v>2779</v>
      </c>
      <c r="AB16" s="75" t="s">
        <v>2780</v>
      </c>
      <c r="AC16" s="75" t="s">
        <v>2781</v>
      </c>
      <c r="AD16" s="75" t="s">
        <v>2782</v>
      </c>
      <c r="AE16" s="75" t="s">
        <v>2783</v>
      </c>
    </row>
    <row r="17" spans="1:31" ht="54" customHeight="1" x14ac:dyDescent="0.25">
      <c r="A17" s="1138" t="s">
        <v>1963</v>
      </c>
      <c r="B17" s="76">
        <v>4</v>
      </c>
      <c r="C17" s="1139">
        <f t="shared" ref="C17:C28" si="1">B17*$B$10</f>
        <v>16</v>
      </c>
      <c r="D17" s="1139">
        <f t="shared" ref="D17:D28" si="2">C17*$B$9</f>
        <v>64800</v>
      </c>
      <c r="E17" s="1139">
        <f t="shared" ref="E17:E28" si="3">IF(B17&gt;0,B17*$B$14,0)</f>
        <v>4</v>
      </c>
      <c r="F17" s="1139">
        <f t="shared" ref="F17:F28" si="4">E17*$B$9</f>
        <v>16200</v>
      </c>
      <c r="G17" s="76">
        <v>3</v>
      </c>
      <c r="H17" s="76">
        <v>0</v>
      </c>
      <c r="I17" s="76">
        <v>0</v>
      </c>
      <c r="J17" s="77">
        <v>0.88</v>
      </c>
      <c r="K17" s="77">
        <v>1.42</v>
      </c>
      <c r="L17" s="1140">
        <f t="shared" ref="L17:L28" si="5">F17*J17</f>
        <v>14256</v>
      </c>
      <c r="M17" s="1140">
        <f t="shared" ref="M17:M28" si="6">F17*K17</f>
        <v>23004</v>
      </c>
      <c r="N17" s="1140">
        <f t="shared" ref="N17:N28" si="7">M17-L17</f>
        <v>8748</v>
      </c>
      <c r="O17" s="76">
        <v>68</v>
      </c>
      <c r="P17" s="78">
        <v>76</v>
      </c>
      <c r="Q17" s="58" t="s">
        <v>2511</v>
      </c>
      <c r="R17" s="58" t="s">
        <v>2512</v>
      </c>
      <c r="T17" s="1141" t="str">
        <f t="shared" ref="T17:T28" si="8">IF($D17=0,"-",IF($G17=0,"Aucune recette légumineuse : ajouter 1 recette test",IF($G17&lt;2,"Faible : viser 2 familles de légumineuses",IF($G17&lt;3,"Correct : varier pois chiche, haricot, pois cassé","Bon niveau : maintenir variété"))))</f>
        <v>Bon niveau : maintenir variété</v>
      </c>
      <c r="U17" s="1141" t="str">
        <f t="shared" ref="U17:U28" si="9">IF($D17=0,"-","Simulation G+1 : "&amp;TEXT($G17+1,"0")&amp;" recette(s). Effet : diversité +, dépendance lentilles -, mais contrôler goût et nom du plat.")</f>
        <v>Simulation G+1 : 4 recette(s). Effet : diversité +, dépendance lentilles -, mais contrôler goût et nom du plat.</v>
      </c>
      <c r="V17" s="1141" t="str">
        <f t="shared" ref="V17:V28" si="10">IF($D17=0,"-",IF($H17=0,"Pas de soja : bon pour limiter allergène",IF($H17=1,"Soja présent : tracer allergène et prévoir variante","Soja fréquent : diversifier avec pois chiches, haricots, fèves")))</f>
        <v>Pas de soja : bon pour limiter allergène</v>
      </c>
      <c r="W17" s="1141" t="str">
        <f t="shared" ref="W17:W28" si="11">IF($D17=0,"-",IF($H17+1&gt;1,"Si +1 soja : risque de surreprésentation/allergène ; préférer autre source","Si +1 soja : test possible mais traçage allergène obligatoire"))</f>
        <v>Si +1 soja : test possible mais traçage allergène obligatoire</v>
      </c>
      <c r="X17" s="1141" t="str">
        <f t="shared" ref="X17:X28" si="12">IF($D17=0,"-",IF($I17=0,"Pas de seitan : pas de risque gluten ajouté",IF($I17=1,"Seitan présent : contrôle gluten + alternative sans gluten","Seitan trop présent : réduire fréquence")))</f>
        <v>Pas de seitan : pas de risque gluten ajouté</v>
      </c>
      <c r="Y17" s="1141" t="str">
        <f t="shared" ref="Y17:Y28" si="13">IF($D17=0,"-",IF($I17+1&gt;1,"Si +1 seitan : augmente le risque gluten ; à éviter comme routine","Si +1 seitan : possible uniquement avec affichage gluten et alternative"))</f>
        <v>Si +1 seitan : possible uniquement avec affichage gluten et alternative</v>
      </c>
      <c r="Z17" s="1141" t="str">
        <f t="shared" ref="Z17:Z28" si="14">IF($D17=0,"-",IF($O17&gt;=75,"Alerte : gaspillage élevé",IF($O17&gt;=70,"Surveillance : pertes à réduire","Correct : pertes contenues")))</f>
        <v>Correct : pertes contenues</v>
      </c>
      <c r="AA17" s="1141" t="str">
        <f t="shared" ref="AA17:AA28" si="15">IF($D17=0,"-",IF($O17&gt;=75,"Réduire grammage test, ajouter sauce, retravailler texture, nommer le plat positivement",IF($O17&gt;=70,"Observer retours plateaux, assaisonnement, tenue au chaud, portion enfant/ado","Maintenir suivi retours plateaux et pesées")))</f>
        <v>Maintenir suivi retours plateaux et pesées</v>
      </c>
      <c r="AB17" s="1141" t="str">
        <f t="shared" ref="AB17:AB28" si="16">IF($D17=0,"-",IF($P17&gt;=78,"Bonne acceptabilité",IF($P17&gt;=75,"Acceptabilité correcte",IF($P17&gt;=72,"Acceptabilité fragile","Alerte : recette à retravailler avant déploiement"))))</f>
        <v>Acceptabilité correcte</v>
      </c>
      <c r="AC17" s="1141" t="str">
        <f t="shared" ref="AC17:AC28" si="17">IF($D17=0,"-","Méthode : votes simples 1-5, retours plateaux, observations service. Satisfaction % = avis positifs / réponses exploitables.")</f>
        <v>Méthode : votes simples 1-5, retours plateaux, observations service. Satisfaction % = avis positifs / réponses exploitables.</v>
      </c>
      <c r="AD17" s="1141" t="str">
        <f t="shared" ref="AD17:AD28" si="18">IF($D17=0,"-",IF($P17&lt;72,"Incidence : ne pas généraliser ; satisfaction trop basse",IF($O17&gt;75,"Incidence : économie matière probablement annulée par le gaspillage",IF($N17&gt;0,"Incidence : gain intéressant si satisfaction et gaspillage restent maîtrisés","Incidence : vérifier coût, temps agent et acceptabilité"))))</f>
        <v>Incidence : gain intéressant si satisfaction et gaspillage restent maîtrisés</v>
      </c>
      <c r="AE17" s="1141" t="str">
        <f t="shared" ref="AE17:AE28" si="19">IF($D17=0,"-",IF($I17&gt;0,"Séquence formateur : expliquer gluten/seitan + alternative sans gluten",IF($H17&gt;0,"Séquence formateur : expliquer allergène soja et variante non soja",IF($G17&lt;2,"Séquence formateur : ajouter autre légumineuse que lentilles","Séquence formateur : mois exploitable comme exemple positif"))))</f>
        <v>Séquence formateur : mois exploitable comme exemple positif</v>
      </c>
    </row>
    <row r="18" spans="1:31" ht="54" customHeight="1" x14ac:dyDescent="0.25">
      <c r="A18" s="1138" t="s">
        <v>1964</v>
      </c>
      <c r="B18" s="76">
        <v>3</v>
      </c>
      <c r="C18" s="1139">
        <f t="shared" si="1"/>
        <v>12</v>
      </c>
      <c r="D18" s="1139">
        <f t="shared" si="2"/>
        <v>48600</v>
      </c>
      <c r="E18" s="1139">
        <f t="shared" si="3"/>
        <v>3</v>
      </c>
      <c r="F18" s="1139">
        <f t="shared" si="4"/>
        <v>12150</v>
      </c>
      <c r="G18" s="76">
        <v>2</v>
      </c>
      <c r="H18" s="76">
        <v>1</v>
      </c>
      <c r="I18" s="76">
        <v>0</v>
      </c>
      <c r="J18" s="77">
        <v>0.95</v>
      </c>
      <c r="K18" s="77">
        <v>1.48</v>
      </c>
      <c r="L18" s="1140">
        <f t="shared" si="5"/>
        <v>11542.5</v>
      </c>
      <c r="M18" s="1140">
        <f t="shared" si="6"/>
        <v>17982</v>
      </c>
      <c r="N18" s="1140">
        <f t="shared" si="7"/>
        <v>6439.5</v>
      </c>
      <c r="O18" s="76">
        <v>72</v>
      </c>
      <c r="P18" s="78">
        <v>74</v>
      </c>
      <c r="Q18" s="58" t="s">
        <v>1493</v>
      </c>
      <c r="R18" s="58" t="s">
        <v>2513</v>
      </c>
      <c r="T18" s="1141" t="str">
        <f t="shared" si="8"/>
        <v>Correct : varier pois chiche, haricot, pois cassé</v>
      </c>
      <c r="U18" s="1141" t="str">
        <f t="shared" si="9"/>
        <v>Simulation G+1 : 3 recette(s). Effet : diversité +, dépendance lentilles -, mais contrôler goût et nom du plat.</v>
      </c>
      <c r="V18" s="1141" t="str">
        <f t="shared" si="10"/>
        <v>Soja présent : tracer allergène et prévoir variante</v>
      </c>
      <c r="W18" s="1141" t="str">
        <f t="shared" si="11"/>
        <v>Si +1 soja : risque de surreprésentation/allergène ; préférer autre source</v>
      </c>
      <c r="X18" s="1141" t="str">
        <f t="shared" si="12"/>
        <v>Pas de seitan : pas de risque gluten ajouté</v>
      </c>
      <c r="Y18" s="1141" t="str">
        <f t="shared" si="13"/>
        <v>Si +1 seitan : possible uniquement avec affichage gluten et alternative</v>
      </c>
      <c r="Z18" s="1141" t="str">
        <f t="shared" si="14"/>
        <v>Surveillance : pertes à réduire</v>
      </c>
      <c r="AA18" s="1141" t="str">
        <f t="shared" si="15"/>
        <v>Observer retours plateaux, assaisonnement, tenue au chaud, portion enfant/ado</v>
      </c>
      <c r="AB18" s="1141" t="str">
        <f t="shared" si="16"/>
        <v>Acceptabilité fragile</v>
      </c>
      <c r="AC18" s="1141" t="str">
        <f t="shared" si="17"/>
        <v>Méthode : votes simples 1-5, retours plateaux, observations service. Satisfaction % = avis positifs / réponses exploitables.</v>
      </c>
      <c r="AD18" s="1141" t="str">
        <f t="shared" si="18"/>
        <v>Incidence : gain intéressant si satisfaction et gaspillage restent maîtrisés</v>
      </c>
      <c r="AE18" s="1141" t="str">
        <f t="shared" si="19"/>
        <v>Séquence formateur : expliquer allergène soja et variante non soja</v>
      </c>
    </row>
    <row r="19" spans="1:31" ht="54" customHeight="1" x14ac:dyDescent="0.25">
      <c r="A19" s="1138" t="s">
        <v>1965</v>
      </c>
      <c r="B19" s="76">
        <v>4</v>
      </c>
      <c r="C19" s="1139">
        <f t="shared" si="1"/>
        <v>16</v>
      </c>
      <c r="D19" s="1139">
        <f t="shared" si="2"/>
        <v>64800</v>
      </c>
      <c r="E19" s="1139">
        <f t="shared" si="3"/>
        <v>4</v>
      </c>
      <c r="F19" s="1139">
        <f t="shared" si="4"/>
        <v>16200</v>
      </c>
      <c r="G19" s="76">
        <v>3</v>
      </c>
      <c r="H19" s="76">
        <v>0</v>
      </c>
      <c r="I19" s="76">
        <v>0</v>
      </c>
      <c r="J19" s="77">
        <v>0.84</v>
      </c>
      <c r="K19" s="77">
        <v>1.44</v>
      </c>
      <c r="L19" s="1140">
        <f t="shared" si="5"/>
        <v>13608</v>
      </c>
      <c r="M19" s="1140">
        <f t="shared" si="6"/>
        <v>23328</v>
      </c>
      <c r="N19" s="1140">
        <f t="shared" si="7"/>
        <v>9720</v>
      </c>
      <c r="O19" s="76">
        <v>65</v>
      </c>
      <c r="P19" s="78">
        <v>79</v>
      </c>
      <c r="Q19" s="58" t="s">
        <v>2511</v>
      </c>
      <c r="R19" s="58" t="s">
        <v>2512</v>
      </c>
      <c r="T19" s="1141" t="str">
        <f t="shared" si="8"/>
        <v>Bon niveau : maintenir variété</v>
      </c>
      <c r="U19" s="1141" t="str">
        <f t="shared" si="9"/>
        <v>Simulation G+1 : 4 recette(s). Effet : diversité +, dépendance lentilles -, mais contrôler goût et nom du plat.</v>
      </c>
      <c r="V19" s="1141" t="str">
        <f t="shared" si="10"/>
        <v>Pas de soja : bon pour limiter allergène</v>
      </c>
      <c r="W19" s="1141" t="str">
        <f t="shared" si="11"/>
        <v>Si +1 soja : test possible mais traçage allergène obligatoire</v>
      </c>
      <c r="X19" s="1141" t="str">
        <f t="shared" si="12"/>
        <v>Pas de seitan : pas de risque gluten ajouté</v>
      </c>
      <c r="Y19" s="1141" t="str">
        <f t="shared" si="13"/>
        <v>Si +1 seitan : possible uniquement avec affichage gluten et alternative</v>
      </c>
      <c r="Z19" s="1141" t="str">
        <f t="shared" si="14"/>
        <v>Correct : pertes contenues</v>
      </c>
      <c r="AA19" s="1141" t="str">
        <f t="shared" si="15"/>
        <v>Maintenir suivi retours plateaux et pesées</v>
      </c>
      <c r="AB19" s="1141" t="str">
        <f t="shared" si="16"/>
        <v>Bonne acceptabilité</v>
      </c>
      <c r="AC19" s="1141" t="str">
        <f t="shared" si="17"/>
        <v>Méthode : votes simples 1-5, retours plateaux, observations service. Satisfaction % = avis positifs / réponses exploitables.</v>
      </c>
      <c r="AD19" s="1141" t="str">
        <f t="shared" si="18"/>
        <v>Incidence : gain intéressant si satisfaction et gaspillage restent maîtrisés</v>
      </c>
      <c r="AE19" s="1141" t="str">
        <f t="shared" si="19"/>
        <v>Séquence formateur : mois exploitable comme exemple positif</v>
      </c>
    </row>
    <row r="20" spans="1:31" ht="54" customHeight="1" x14ac:dyDescent="0.25">
      <c r="A20" s="1138" t="s">
        <v>1966</v>
      </c>
      <c r="B20" s="76">
        <v>3</v>
      </c>
      <c r="C20" s="1139">
        <f t="shared" si="1"/>
        <v>12</v>
      </c>
      <c r="D20" s="1139">
        <f t="shared" si="2"/>
        <v>48600</v>
      </c>
      <c r="E20" s="1139">
        <f t="shared" si="3"/>
        <v>3</v>
      </c>
      <c r="F20" s="1139">
        <f t="shared" si="4"/>
        <v>12150</v>
      </c>
      <c r="G20" s="76">
        <v>2</v>
      </c>
      <c r="H20" s="76">
        <v>0</v>
      </c>
      <c r="I20" s="76">
        <v>1</v>
      </c>
      <c r="J20" s="77">
        <v>1.05</v>
      </c>
      <c r="K20" s="77">
        <v>1.5</v>
      </c>
      <c r="L20" s="1140">
        <f t="shared" si="5"/>
        <v>12757.5</v>
      </c>
      <c r="M20" s="1140">
        <f t="shared" si="6"/>
        <v>18225</v>
      </c>
      <c r="N20" s="1140">
        <f t="shared" si="7"/>
        <v>5467.5</v>
      </c>
      <c r="O20" s="76">
        <v>78</v>
      </c>
      <c r="P20" s="78">
        <v>71</v>
      </c>
      <c r="Q20" s="58" t="s">
        <v>2514</v>
      </c>
      <c r="R20" s="58" t="s">
        <v>2515</v>
      </c>
      <c r="T20" s="1141" t="str">
        <f t="shared" si="8"/>
        <v>Correct : varier pois chiche, haricot, pois cassé</v>
      </c>
      <c r="U20" s="1141" t="str">
        <f t="shared" si="9"/>
        <v>Simulation G+1 : 3 recette(s). Effet : diversité +, dépendance lentilles -, mais contrôler goût et nom du plat.</v>
      </c>
      <c r="V20" s="1141" t="str">
        <f t="shared" si="10"/>
        <v>Pas de soja : bon pour limiter allergène</v>
      </c>
      <c r="W20" s="1141" t="str">
        <f t="shared" si="11"/>
        <v>Si +1 soja : test possible mais traçage allergène obligatoire</v>
      </c>
      <c r="X20" s="1141" t="str">
        <f t="shared" si="12"/>
        <v>Seitan présent : contrôle gluten + alternative sans gluten</v>
      </c>
      <c r="Y20" s="1141" t="str">
        <f t="shared" si="13"/>
        <v>Si +1 seitan : augmente le risque gluten ; à éviter comme routine</v>
      </c>
      <c r="Z20" s="1141" t="str">
        <f t="shared" si="14"/>
        <v>Alerte : gaspillage élevé</v>
      </c>
      <c r="AA20" s="1141" t="str">
        <f t="shared" si="15"/>
        <v>Réduire grammage test, ajouter sauce, retravailler texture, nommer le plat positivement</v>
      </c>
      <c r="AB20" s="1141" t="str">
        <f t="shared" si="16"/>
        <v>Alerte : recette à retravailler avant déploiement</v>
      </c>
      <c r="AC20" s="1141" t="str">
        <f t="shared" si="17"/>
        <v>Méthode : votes simples 1-5, retours plateaux, observations service. Satisfaction % = avis positifs / réponses exploitables.</v>
      </c>
      <c r="AD20" s="1141" t="str">
        <f t="shared" si="18"/>
        <v>Incidence : ne pas généraliser ; satisfaction trop basse</v>
      </c>
      <c r="AE20" s="1141" t="str">
        <f t="shared" si="19"/>
        <v>Séquence formateur : expliquer gluten/seitan + alternative sans gluten</v>
      </c>
    </row>
    <row r="21" spans="1:31" ht="54" customHeight="1" x14ac:dyDescent="0.25">
      <c r="A21" s="1138" t="s">
        <v>1967</v>
      </c>
      <c r="B21" s="76">
        <v>3</v>
      </c>
      <c r="C21" s="1139">
        <f t="shared" si="1"/>
        <v>12</v>
      </c>
      <c r="D21" s="1139">
        <f t="shared" si="2"/>
        <v>48600</v>
      </c>
      <c r="E21" s="1139">
        <f t="shared" si="3"/>
        <v>3</v>
      </c>
      <c r="F21" s="1139">
        <f t="shared" si="4"/>
        <v>12150</v>
      </c>
      <c r="G21" s="76">
        <v>2</v>
      </c>
      <c r="H21" s="76">
        <v>1</v>
      </c>
      <c r="I21" s="76">
        <v>0</v>
      </c>
      <c r="J21" s="77">
        <v>0.92</v>
      </c>
      <c r="K21" s="77">
        <v>1.46</v>
      </c>
      <c r="L21" s="1140">
        <f t="shared" si="5"/>
        <v>11178</v>
      </c>
      <c r="M21" s="1140">
        <f t="shared" si="6"/>
        <v>17739</v>
      </c>
      <c r="N21" s="1140">
        <f t="shared" si="7"/>
        <v>6561</v>
      </c>
      <c r="O21" s="76">
        <v>70</v>
      </c>
      <c r="P21" s="78">
        <v>75</v>
      </c>
      <c r="Q21" s="58" t="s">
        <v>1493</v>
      </c>
      <c r="R21" s="58" t="s">
        <v>2512</v>
      </c>
      <c r="T21" s="1141" t="str">
        <f t="shared" si="8"/>
        <v>Correct : varier pois chiche, haricot, pois cassé</v>
      </c>
      <c r="U21" s="1141" t="str">
        <f t="shared" si="9"/>
        <v>Simulation G+1 : 3 recette(s). Effet : diversité +, dépendance lentilles -, mais contrôler goût et nom du plat.</v>
      </c>
      <c r="V21" s="1141" t="str">
        <f t="shared" si="10"/>
        <v>Soja présent : tracer allergène et prévoir variante</v>
      </c>
      <c r="W21" s="1141" t="str">
        <f t="shared" si="11"/>
        <v>Si +1 soja : risque de surreprésentation/allergène ; préférer autre source</v>
      </c>
      <c r="X21" s="1141" t="str">
        <f t="shared" si="12"/>
        <v>Pas de seitan : pas de risque gluten ajouté</v>
      </c>
      <c r="Y21" s="1141" t="str">
        <f t="shared" si="13"/>
        <v>Si +1 seitan : possible uniquement avec affichage gluten et alternative</v>
      </c>
      <c r="Z21" s="1141" t="str">
        <f t="shared" si="14"/>
        <v>Surveillance : pertes à réduire</v>
      </c>
      <c r="AA21" s="1141" t="str">
        <f t="shared" si="15"/>
        <v>Observer retours plateaux, assaisonnement, tenue au chaud, portion enfant/ado</v>
      </c>
      <c r="AB21" s="1141" t="str">
        <f t="shared" si="16"/>
        <v>Acceptabilité correcte</v>
      </c>
      <c r="AC21" s="1141" t="str">
        <f t="shared" si="17"/>
        <v>Méthode : votes simples 1-5, retours plateaux, observations service. Satisfaction % = avis positifs / réponses exploitables.</v>
      </c>
      <c r="AD21" s="1141" t="str">
        <f t="shared" si="18"/>
        <v>Incidence : gain intéressant si satisfaction et gaspillage restent maîtrisés</v>
      </c>
      <c r="AE21" s="1141" t="str">
        <f t="shared" si="19"/>
        <v>Séquence formateur : expliquer allergène soja et variante non soja</v>
      </c>
    </row>
    <row r="22" spans="1:31" ht="54" customHeight="1" x14ac:dyDescent="0.25">
      <c r="A22" s="1138" t="s">
        <v>1968</v>
      </c>
      <c r="B22" s="76">
        <v>2</v>
      </c>
      <c r="C22" s="1139">
        <f t="shared" si="1"/>
        <v>8</v>
      </c>
      <c r="D22" s="1139">
        <f t="shared" si="2"/>
        <v>32400</v>
      </c>
      <c r="E22" s="1139">
        <f t="shared" si="3"/>
        <v>2</v>
      </c>
      <c r="F22" s="1139">
        <f t="shared" si="4"/>
        <v>8100</v>
      </c>
      <c r="G22" s="76">
        <v>1</v>
      </c>
      <c r="H22" s="76">
        <v>0</v>
      </c>
      <c r="I22" s="76">
        <v>0</v>
      </c>
      <c r="J22" s="77">
        <v>0.9</v>
      </c>
      <c r="K22" s="77">
        <v>1.43</v>
      </c>
      <c r="L22" s="1140">
        <f t="shared" si="5"/>
        <v>7290</v>
      </c>
      <c r="M22" s="1140">
        <f t="shared" si="6"/>
        <v>11583</v>
      </c>
      <c r="N22" s="1140">
        <f t="shared" si="7"/>
        <v>4293</v>
      </c>
      <c r="O22" s="76">
        <v>74</v>
      </c>
      <c r="P22" s="78">
        <v>77</v>
      </c>
      <c r="Q22" s="58" t="s">
        <v>2511</v>
      </c>
      <c r="R22" s="58" t="s">
        <v>2516</v>
      </c>
      <c r="T22" s="1141" t="str">
        <f t="shared" si="8"/>
        <v>Faible : viser 2 familles de légumineuses</v>
      </c>
      <c r="U22" s="1141" t="str">
        <f t="shared" si="9"/>
        <v>Simulation G+1 : 2 recette(s). Effet : diversité +, dépendance lentilles -, mais contrôler goût et nom du plat.</v>
      </c>
      <c r="V22" s="1141" t="str">
        <f t="shared" si="10"/>
        <v>Pas de soja : bon pour limiter allergène</v>
      </c>
      <c r="W22" s="1141" t="str">
        <f t="shared" si="11"/>
        <v>Si +1 soja : test possible mais traçage allergène obligatoire</v>
      </c>
      <c r="X22" s="1141" t="str">
        <f t="shared" si="12"/>
        <v>Pas de seitan : pas de risque gluten ajouté</v>
      </c>
      <c r="Y22" s="1141" t="str">
        <f t="shared" si="13"/>
        <v>Si +1 seitan : possible uniquement avec affichage gluten et alternative</v>
      </c>
      <c r="Z22" s="1141" t="str">
        <f t="shared" si="14"/>
        <v>Surveillance : pertes à réduire</v>
      </c>
      <c r="AA22" s="1141" t="str">
        <f t="shared" si="15"/>
        <v>Observer retours plateaux, assaisonnement, tenue au chaud, portion enfant/ado</v>
      </c>
      <c r="AB22" s="1141" t="str">
        <f t="shared" si="16"/>
        <v>Acceptabilité correcte</v>
      </c>
      <c r="AC22" s="1141" t="str">
        <f t="shared" si="17"/>
        <v>Méthode : votes simples 1-5, retours plateaux, observations service. Satisfaction % = avis positifs / réponses exploitables.</v>
      </c>
      <c r="AD22" s="1141" t="str">
        <f t="shared" si="18"/>
        <v>Incidence : gain intéressant si satisfaction et gaspillage restent maîtrisés</v>
      </c>
      <c r="AE22" s="1141" t="str">
        <f t="shared" si="19"/>
        <v>Séquence formateur : ajouter autre légumineuse que lentilles</v>
      </c>
    </row>
    <row r="23" spans="1:31" ht="54" customHeight="1" x14ac:dyDescent="0.25">
      <c r="A23" s="1138" t="s">
        <v>1969</v>
      </c>
      <c r="B23" s="76">
        <v>0</v>
      </c>
      <c r="C23" s="1139">
        <f t="shared" si="1"/>
        <v>0</v>
      </c>
      <c r="D23" s="1139">
        <f t="shared" si="2"/>
        <v>0</v>
      </c>
      <c r="E23" s="1139">
        <f t="shared" si="3"/>
        <v>0</v>
      </c>
      <c r="F23" s="1139">
        <f t="shared" si="4"/>
        <v>0</v>
      </c>
      <c r="G23" s="76">
        <v>0</v>
      </c>
      <c r="H23" s="76">
        <v>0</v>
      </c>
      <c r="I23" s="76">
        <v>0</v>
      </c>
      <c r="J23" s="77">
        <v>0</v>
      </c>
      <c r="K23" s="77">
        <v>0</v>
      </c>
      <c r="L23" s="1140">
        <f t="shared" si="5"/>
        <v>0</v>
      </c>
      <c r="M23" s="1140">
        <f t="shared" si="6"/>
        <v>0</v>
      </c>
      <c r="N23" s="1140">
        <f t="shared" si="7"/>
        <v>0</v>
      </c>
      <c r="O23" s="76">
        <v>0</v>
      </c>
      <c r="P23" s="78">
        <v>0</v>
      </c>
      <c r="Q23" s="58" t="s">
        <v>2511</v>
      </c>
      <c r="R23" s="58" t="s">
        <v>2517</v>
      </c>
      <c r="T23" s="1141" t="str">
        <f t="shared" si="8"/>
        <v>-</v>
      </c>
      <c r="U23" s="1141" t="str">
        <f t="shared" si="9"/>
        <v>-</v>
      </c>
      <c r="V23" s="1141" t="str">
        <f t="shared" si="10"/>
        <v>-</v>
      </c>
      <c r="W23" s="1141" t="str">
        <f t="shared" si="11"/>
        <v>-</v>
      </c>
      <c r="X23" s="1141" t="str">
        <f t="shared" si="12"/>
        <v>-</v>
      </c>
      <c r="Y23" s="1141" t="str">
        <f t="shared" si="13"/>
        <v>-</v>
      </c>
      <c r="Z23" s="1141" t="str">
        <f t="shared" si="14"/>
        <v>-</v>
      </c>
      <c r="AA23" s="1141" t="str">
        <f t="shared" si="15"/>
        <v>-</v>
      </c>
      <c r="AB23" s="1141" t="str">
        <f t="shared" si="16"/>
        <v>-</v>
      </c>
      <c r="AC23" s="1141" t="str">
        <f t="shared" si="17"/>
        <v>-</v>
      </c>
      <c r="AD23" s="1141" t="str">
        <f t="shared" si="18"/>
        <v>-</v>
      </c>
      <c r="AE23" s="1141" t="str">
        <f t="shared" si="19"/>
        <v>-</v>
      </c>
    </row>
    <row r="24" spans="1:31" ht="54" customHeight="1" x14ac:dyDescent="0.25">
      <c r="A24" s="1138" t="s">
        <v>1970</v>
      </c>
      <c r="B24" s="76">
        <v>0</v>
      </c>
      <c r="C24" s="1139">
        <f t="shared" si="1"/>
        <v>0</v>
      </c>
      <c r="D24" s="1139">
        <f t="shared" si="2"/>
        <v>0</v>
      </c>
      <c r="E24" s="1139">
        <f t="shared" si="3"/>
        <v>0</v>
      </c>
      <c r="F24" s="1139">
        <f t="shared" si="4"/>
        <v>0</v>
      </c>
      <c r="G24" s="76">
        <v>0</v>
      </c>
      <c r="H24" s="76">
        <v>0</v>
      </c>
      <c r="I24" s="76">
        <v>0</v>
      </c>
      <c r="J24" s="77">
        <v>0</v>
      </c>
      <c r="K24" s="77">
        <v>0</v>
      </c>
      <c r="L24" s="1140">
        <f t="shared" si="5"/>
        <v>0</v>
      </c>
      <c r="M24" s="1140">
        <f t="shared" si="6"/>
        <v>0</v>
      </c>
      <c r="N24" s="1140">
        <f t="shared" si="7"/>
        <v>0</v>
      </c>
      <c r="O24" s="76">
        <v>0</v>
      </c>
      <c r="P24" s="78">
        <v>0</v>
      </c>
      <c r="Q24" s="58" t="s">
        <v>2511</v>
      </c>
      <c r="R24" s="58" t="s">
        <v>2517</v>
      </c>
      <c r="T24" s="1141" t="str">
        <f t="shared" si="8"/>
        <v>-</v>
      </c>
      <c r="U24" s="1141" t="str">
        <f t="shared" si="9"/>
        <v>-</v>
      </c>
      <c r="V24" s="1141" t="str">
        <f t="shared" si="10"/>
        <v>-</v>
      </c>
      <c r="W24" s="1141" t="str">
        <f t="shared" si="11"/>
        <v>-</v>
      </c>
      <c r="X24" s="1141" t="str">
        <f t="shared" si="12"/>
        <v>-</v>
      </c>
      <c r="Y24" s="1141" t="str">
        <f t="shared" si="13"/>
        <v>-</v>
      </c>
      <c r="Z24" s="1141" t="str">
        <f t="shared" si="14"/>
        <v>-</v>
      </c>
      <c r="AA24" s="1141" t="str">
        <f t="shared" si="15"/>
        <v>-</v>
      </c>
      <c r="AB24" s="1141" t="str">
        <f t="shared" si="16"/>
        <v>-</v>
      </c>
      <c r="AC24" s="1141" t="str">
        <f t="shared" si="17"/>
        <v>-</v>
      </c>
      <c r="AD24" s="1141" t="str">
        <f t="shared" si="18"/>
        <v>-</v>
      </c>
      <c r="AE24" s="1141" t="str">
        <f t="shared" si="19"/>
        <v>-</v>
      </c>
    </row>
    <row r="25" spans="1:31" ht="54" customHeight="1" x14ac:dyDescent="0.25">
      <c r="A25" s="1138" t="s">
        <v>1971</v>
      </c>
      <c r="B25" s="76">
        <v>4</v>
      </c>
      <c r="C25" s="1139">
        <f t="shared" si="1"/>
        <v>16</v>
      </c>
      <c r="D25" s="1139">
        <f t="shared" si="2"/>
        <v>64800</v>
      </c>
      <c r="E25" s="1139">
        <f t="shared" si="3"/>
        <v>4</v>
      </c>
      <c r="F25" s="1139">
        <f t="shared" si="4"/>
        <v>16200</v>
      </c>
      <c r="G25" s="76">
        <v>3</v>
      </c>
      <c r="H25" s="76">
        <v>0</v>
      </c>
      <c r="I25" s="76">
        <v>0</v>
      </c>
      <c r="J25" s="77">
        <v>0.86</v>
      </c>
      <c r="K25" s="77">
        <v>1.41</v>
      </c>
      <c r="L25" s="1140">
        <f t="shared" si="5"/>
        <v>13932</v>
      </c>
      <c r="M25" s="1140">
        <f t="shared" si="6"/>
        <v>22842</v>
      </c>
      <c r="N25" s="1140">
        <f t="shared" si="7"/>
        <v>8910</v>
      </c>
      <c r="O25" s="76">
        <v>69</v>
      </c>
      <c r="P25" s="78">
        <v>78</v>
      </c>
      <c r="Q25" s="58" t="s">
        <v>2511</v>
      </c>
      <c r="R25" s="58" t="s">
        <v>2512</v>
      </c>
      <c r="T25" s="1141" t="str">
        <f t="shared" si="8"/>
        <v>Bon niveau : maintenir variété</v>
      </c>
      <c r="U25" s="1141" t="str">
        <f t="shared" si="9"/>
        <v>Simulation G+1 : 4 recette(s). Effet : diversité +, dépendance lentilles -, mais contrôler goût et nom du plat.</v>
      </c>
      <c r="V25" s="1141" t="str">
        <f t="shared" si="10"/>
        <v>Pas de soja : bon pour limiter allergène</v>
      </c>
      <c r="W25" s="1141" t="str">
        <f t="shared" si="11"/>
        <v>Si +1 soja : test possible mais traçage allergène obligatoire</v>
      </c>
      <c r="X25" s="1141" t="str">
        <f t="shared" si="12"/>
        <v>Pas de seitan : pas de risque gluten ajouté</v>
      </c>
      <c r="Y25" s="1141" t="str">
        <f t="shared" si="13"/>
        <v>Si +1 seitan : possible uniquement avec affichage gluten et alternative</v>
      </c>
      <c r="Z25" s="1141" t="str">
        <f t="shared" si="14"/>
        <v>Correct : pertes contenues</v>
      </c>
      <c r="AA25" s="1141" t="str">
        <f t="shared" si="15"/>
        <v>Maintenir suivi retours plateaux et pesées</v>
      </c>
      <c r="AB25" s="1141" t="str">
        <f t="shared" si="16"/>
        <v>Bonne acceptabilité</v>
      </c>
      <c r="AC25" s="1141" t="str">
        <f t="shared" si="17"/>
        <v>Méthode : votes simples 1-5, retours plateaux, observations service. Satisfaction % = avis positifs / réponses exploitables.</v>
      </c>
      <c r="AD25" s="1141" t="str">
        <f t="shared" si="18"/>
        <v>Incidence : gain intéressant si satisfaction et gaspillage restent maîtrisés</v>
      </c>
      <c r="AE25" s="1141" t="str">
        <f t="shared" si="19"/>
        <v>Séquence formateur : mois exploitable comme exemple positif</v>
      </c>
    </row>
    <row r="26" spans="1:31" ht="54" customHeight="1" x14ac:dyDescent="0.25">
      <c r="A26" s="1138" t="s">
        <v>1972</v>
      </c>
      <c r="B26" s="76">
        <v>4</v>
      </c>
      <c r="C26" s="1139">
        <f t="shared" si="1"/>
        <v>16</v>
      </c>
      <c r="D26" s="1139">
        <f t="shared" si="2"/>
        <v>64800</v>
      </c>
      <c r="E26" s="1139">
        <f t="shared" si="3"/>
        <v>4</v>
      </c>
      <c r="F26" s="1139">
        <f t="shared" si="4"/>
        <v>16200</v>
      </c>
      <c r="G26" s="76">
        <v>3</v>
      </c>
      <c r="H26" s="76">
        <v>1</v>
      </c>
      <c r="I26" s="76">
        <v>0</v>
      </c>
      <c r="J26" s="77">
        <v>0.89</v>
      </c>
      <c r="K26" s="77">
        <v>1.45</v>
      </c>
      <c r="L26" s="1140">
        <f t="shared" si="5"/>
        <v>14418</v>
      </c>
      <c r="M26" s="1140">
        <f t="shared" si="6"/>
        <v>23490</v>
      </c>
      <c r="N26" s="1140">
        <f t="shared" si="7"/>
        <v>9072</v>
      </c>
      <c r="O26" s="76">
        <v>66</v>
      </c>
      <c r="P26" s="78">
        <v>80</v>
      </c>
      <c r="Q26" s="58" t="s">
        <v>1493</v>
      </c>
      <c r="R26" s="58" t="s">
        <v>2512</v>
      </c>
      <c r="T26" s="1141" t="str">
        <f t="shared" si="8"/>
        <v>Bon niveau : maintenir variété</v>
      </c>
      <c r="U26" s="1141" t="str">
        <f t="shared" si="9"/>
        <v>Simulation G+1 : 4 recette(s). Effet : diversité +, dépendance lentilles -, mais contrôler goût et nom du plat.</v>
      </c>
      <c r="V26" s="1141" t="str">
        <f t="shared" si="10"/>
        <v>Soja présent : tracer allergène et prévoir variante</v>
      </c>
      <c r="W26" s="1141" t="str">
        <f t="shared" si="11"/>
        <v>Si +1 soja : risque de surreprésentation/allergène ; préférer autre source</v>
      </c>
      <c r="X26" s="1141" t="str">
        <f t="shared" si="12"/>
        <v>Pas de seitan : pas de risque gluten ajouté</v>
      </c>
      <c r="Y26" s="1141" t="str">
        <f t="shared" si="13"/>
        <v>Si +1 seitan : possible uniquement avec affichage gluten et alternative</v>
      </c>
      <c r="Z26" s="1141" t="str">
        <f t="shared" si="14"/>
        <v>Correct : pertes contenues</v>
      </c>
      <c r="AA26" s="1141" t="str">
        <f t="shared" si="15"/>
        <v>Maintenir suivi retours plateaux et pesées</v>
      </c>
      <c r="AB26" s="1141" t="str">
        <f t="shared" si="16"/>
        <v>Bonne acceptabilité</v>
      </c>
      <c r="AC26" s="1141" t="str">
        <f t="shared" si="17"/>
        <v>Méthode : votes simples 1-5, retours plateaux, observations service. Satisfaction % = avis positifs / réponses exploitables.</v>
      </c>
      <c r="AD26" s="1141" t="str">
        <f t="shared" si="18"/>
        <v>Incidence : gain intéressant si satisfaction et gaspillage restent maîtrisés</v>
      </c>
      <c r="AE26" s="1141" t="str">
        <f t="shared" si="19"/>
        <v>Séquence formateur : expliquer allergène soja et variante non soja</v>
      </c>
    </row>
    <row r="27" spans="1:31" ht="54" customHeight="1" x14ac:dyDescent="0.25">
      <c r="A27" s="1138" t="s">
        <v>1973</v>
      </c>
      <c r="B27" s="76">
        <v>3</v>
      </c>
      <c r="C27" s="1139">
        <f t="shared" si="1"/>
        <v>12</v>
      </c>
      <c r="D27" s="1139">
        <f t="shared" si="2"/>
        <v>48600</v>
      </c>
      <c r="E27" s="1139">
        <f t="shared" si="3"/>
        <v>3</v>
      </c>
      <c r="F27" s="1139">
        <f t="shared" si="4"/>
        <v>12150</v>
      </c>
      <c r="G27" s="76">
        <v>2</v>
      </c>
      <c r="H27" s="76">
        <v>0</v>
      </c>
      <c r="I27" s="76">
        <v>1</v>
      </c>
      <c r="J27" s="77">
        <v>0.98</v>
      </c>
      <c r="K27" s="77">
        <v>1.49</v>
      </c>
      <c r="L27" s="1140">
        <f t="shared" si="5"/>
        <v>11907</v>
      </c>
      <c r="M27" s="1140">
        <f t="shared" si="6"/>
        <v>18103.5</v>
      </c>
      <c r="N27" s="1140">
        <f t="shared" si="7"/>
        <v>6196.5</v>
      </c>
      <c r="O27" s="76">
        <v>73</v>
      </c>
      <c r="P27" s="78">
        <v>73</v>
      </c>
      <c r="Q27" s="58" t="s">
        <v>2514</v>
      </c>
      <c r="R27" s="58" t="s">
        <v>2515</v>
      </c>
      <c r="T27" s="1141" t="str">
        <f t="shared" si="8"/>
        <v>Correct : varier pois chiche, haricot, pois cassé</v>
      </c>
      <c r="U27" s="1141" t="str">
        <f t="shared" si="9"/>
        <v>Simulation G+1 : 3 recette(s). Effet : diversité +, dépendance lentilles -, mais contrôler goût et nom du plat.</v>
      </c>
      <c r="V27" s="1141" t="str">
        <f t="shared" si="10"/>
        <v>Pas de soja : bon pour limiter allergène</v>
      </c>
      <c r="W27" s="1141" t="str">
        <f t="shared" si="11"/>
        <v>Si +1 soja : test possible mais traçage allergène obligatoire</v>
      </c>
      <c r="X27" s="1141" t="str">
        <f t="shared" si="12"/>
        <v>Seitan présent : contrôle gluten + alternative sans gluten</v>
      </c>
      <c r="Y27" s="1141" t="str">
        <f t="shared" si="13"/>
        <v>Si +1 seitan : augmente le risque gluten ; à éviter comme routine</v>
      </c>
      <c r="Z27" s="1141" t="str">
        <f t="shared" si="14"/>
        <v>Surveillance : pertes à réduire</v>
      </c>
      <c r="AA27" s="1141" t="str">
        <f t="shared" si="15"/>
        <v>Observer retours plateaux, assaisonnement, tenue au chaud, portion enfant/ado</v>
      </c>
      <c r="AB27" s="1141" t="str">
        <f t="shared" si="16"/>
        <v>Acceptabilité fragile</v>
      </c>
      <c r="AC27" s="1141" t="str">
        <f t="shared" si="17"/>
        <v>Méthode : votes simples 1-5, retours plateaux, observations service. Satisfaction % = avis positifs / réponses exploitables.</v>
      </c>
      <c r="AD27" s="1141" t="str">
        <f t="shared" si="18"/>
        <v>Incidence : gain intéressant si satisfaction et gaspillage restent maîtrisés</v>
      </c>
      <c r="AE27" s="1141" t="str">
        <f t="shared" si="19"/>
        <v>Séquence formateur : expliquer gluten/seitan + alternative sans gluten</v>
      </c>
    </row>
    <row r="28" spans="1:31" ht="54" customHeight="1" x14ac:dyDescent="0.25">
      <c r="A28" s="1138" t="s">
        <v>1974</v>
      </c>
      <c r="B28" s="76">
        <v>3</v>
      </c>
      <c r="C28" s="1139">
        <f t="shared" si="1"/>
        <v>12</v>
      </c>
      <c r="D28" s="1139">
        <f t="shared" si="2"/>
        <v>48600</v>
      </c>
      <c r="E28" s="1139">
        <f t="shared" si="3"/>
        <v>3</v>
      </c>
      <c r="F28" s="1139">
        <f t="shared" si="4"/>
        <v>12150</v>
      </c>
      <c r="G28" s="76">
        <v>2</v>
      </c>
      <c r="H28" s="76">
        <v>0</v>
      </c>
      <c r="I28" s="76">
        <v>0</v>
      </c>
      <c r="J28" s="77">
        <v>0.94</v>
      </c>
      <c r="K28" s="77">
        <v>1.47</v>
      </c>
      <c r="L28" s="1140">
        <f t="shared" si="5"/>
        <v>11421</v>
      </c>
      <c r="M28" s="1140">
        <f t="shared" si="6"/>
        <v>17860.5</v>
      </c>
      <c r="N28" s="1140">
        <f t="shared" si="7"/>
        <v>6439.5</v>
      </c>
      <c r="O28" s="76">
        <v>71</v>
      </c>
      <c r="P28" s="78">
        <v>75</v>
      </c>
      <c r="Q28" s="58" t="s">
        <v>2511</v>
      </c>
      <c r="R28" s="58" t="s">
        <v>2512</v>
      </c>
      <c r="T28" s="1141" t="str">
        <f t="shared" si="8"/>
        <v>Correct : varier pois chiche, haricot, pois cassé</v>
      </c>
      <c r="U28" s="1141" t="str">
        <f t="shared" si="9"/>
        <v>Simulation G+1 : 3 recette(s). Effet : diversité +, dépendance lentilles -, mais contrôler goût et nom du plat.</v>
      </c>
      <c r="V28" s="1141" t="str">
        <f t="shared" si="10"/>
        <v>Pas de soja : bon pour limiter allergène</v>
      </c>
      <c r="W28" s="1141" t="str">
        <f t="shared" si="11"/>
        <v>Si +1 soja : test possible mais traçage allergène obligatoire</v>
      </c>
      <c r="X28" s="1141" t="str">
        <f t="shared" si="12"/>
        <v>Pas de seitan : pas de risque gluten ajouté</v>
      </c>
      <c r="Y28" s="1141" t="str">
        <f t="shared" si="13"/>
        <v>Si +1 seitan : possible uniquement avec affichage gluten et alternative</v>
      </c>
      <c r="Z28" s="1141" t="str">
        <f t="shared" si="14"/>
        <v>Surveillance : pertes à réduire</v>
      </c>
      <c r="AA28" s="1141" t="str">
        <f t="shared" si="15"/>
        <v>Observer retours plateaux, assaisonnement, tenue au chaud, portion enfant/ado</v>
      </c>
      <c r="AB28" s="1141" t="str">
        <f t="shared" si="16"/>
        <v>Acceptabilité correcte</v>
      </c>
      <c r="AC28" s="1141" t="str">
        <f t="shared" si="17"/>
        <v>Méthode : votes simples 1-5, retours plateaux, observations service. Satisfaction % = avis positifs / réponses exploitables.</v>
      </c>
      <c r="AD28" s="1141" t="str">
        <f t="shared" si="18"/>
        <v>Incidence : gain intéressant si satisfaction et gaspillage restent maîtrisés</v>
      </c>
      <c r="AE28" s="1141" t="str">
        <f t="shared" si="19"/>
        <v>Séquence formateur : mois exploitable comme exemple positif</v>
      </c>
    </row>
    <row r="29" spans="1:31" ht="54" customHeight="1" x14ac:dyDescent="0.25">
      <c r="A29" s="64" t="s">
        <v>2518</v>
      </c>
      <c r="B29" s="65">
        <f t="shared" ref="B29:I29" si="20">SUM(B17:B28)</f>
        <v>33</v>
      </c>
      <c r="C29" s="65">
        <f t="shared" si="20"/>
        <v>132</v>
      </c>
      <c r="D29" s="65">
        <f t="shared" si="20"/>
        <v>534600</v>
      </c>
      <c r="E29" s="65">
        <f t="shared" si="20"/>
        <v>33</v>
      </c>
      <c r="F29" s="65">
        <f t="shared" si="20"/>
        <v>133650</v>
      </c>
      <c r="G29" s="65">
        <f t="shared" si="20"/>
        <v>23</v>
      </c>
      <c r="H29" s="65">
        <f t="shared" si="20"/>
        <v>3</v>
      </c>
      <c r="I29" s="65">
        <f t="shared" si="20"/>
        <v>2</v>
      </c>
      <c r="J29" s="66">
        <f>IF(F29=0,0,L29/F29)</f>
        <v>0.91515151515151516</v>
      </c>
      <c r="K29" s="66">
        <f>IF(F29=0,0,M29/F29)</f>
        <v>1.4527272727272726</v>
      </c>
      <c r="L29" s="66">
        <f>SUM(L17:L28)</f>
        <v>122310</v>
      </c>
      <c r="M29" s="66">
        <f>SUM(M17:M28)</f>
        <v>194157</v>
      </c>
      <c r="N29" s="66">
        <f>SUM(N17:N28)</f>
        <v>71847</v>
      </c>
      <c r="O29" s="67">
        <f>IF(D29=0,0,SUM(O17*D17,O18*D18,O19*D19,O20*D20,O21*D21,O22*D22,O23*D23,O24*D24,O25*D25,O26*D26,O27*D27,O28*D28)/D29)</f>
        <v>70.060606060606062</v>
      </c>
      <c r="P29" s="68">
        <f>IF(F29=0,0,SUM(P17*F17,P18*F18,P19*F19,P20*F20,P21*F21,P22*F22,P23*F23,P24*F24,P25*F25,P26*F26,P27*F27,P28*F28)/F29)</f>
        <v>76.060606060606062</v>
      </c>
      <c r="Q29" s="59" t="s">
        <v>2519</v>
      </c>
      <c r="R29" s="60" t="s">
        <v>2520</v>
      </c>
      <c r="T29" s="1141" t="str">
        <f>"Synthèse : "&amp;TEXT(SUM(G17:G28),"0")&amp;" recettes légumineuses"</f>
        <v>Synthèse : 23 recettes légumineuses</v>
      </c>
      <c r="U29" s="1141" t="str">
        <f>"Simulation +1/mois servi : "&amp;TEXT(SUM(G17:G28)+COUNTIF(D17:D28,"&gt;0"),"0")&amp;" recettes légumineuses"</f>
        <v>Simulation +1/mois servi : 33 recettes légumineuses</v>
      </c>
      <c r="V29" s="1141" t="str">
        <f>"Soja annuel : "&amp;TEXT(SUM(H17:H28),"0")&amp;" recette(s)"</f>
        <v>Soja annuel : 3 recette(s)</v>
      </c>
      <c r="W29" s="1141" t="str">
        <f>IF(SUM(H17:H28)&gt;3,"Conseil : limiter soja ou diversifier","Soja contenu : traçage allergène suffisant")</f>
        <v>Soja contenu : traçage allergène suffisant</v>
      </c>
      <c r="X29" s="1141" t="str">
        <f>"Seitan/gluten annuel : "&amp;TEXT(SUM(I17:I28),"0")&amp;" recette(s)"</f>
        <v>Seitan/gluten annuel : 2 recette(s)</v>
      </c>
      <c r="Y29" s="1141" t="str">
        <f>IF(SUM(I17:I28)&gt;2,"Conseil : fréquence gluten à réduire","Seitan ponctuel : contrôle allergène obligatoire")</f>
        <v>Seitan ponctuel : contrôle allergène obligatoire</v>
      </c>
      <c r="Z29" s="1141" t="str">
        <f>"Gaspillage moyen : "&amp;TEXT(O29,"0.0")&amp;" g/convive"</f>
        <v>Gaspillage moyen : 70.1 g/convive</v>
      </c>
      <c r="AA29" s="1141" t="str">
        <f>IF(O29&gt;=75,"Action annuelle : plan anti-gaspillage prioritaire",IF(O29&gt;=70,"Action annuelle : test portions et texture","Action annuelle : suivi standard"))</f>
        <v>Action annuelle : test portions et texture</v>
      </c>
      <c r="AB29" s="1141" t="str">
        <f>"Satisfaction moyenne : "&amp;TEXT(P29,"0.0")&amp;"%"</f>
        <v>Satisfaction moyenne : 76.1%</v>
      </c>
      <c r="AC29" s="1141" t="str">
        <f>"Calcul conseillé : avis 4-5 / total avis exploitables, croisé avec retours plateaux"</f>
        <v>Calcul conseillé : avis 4-5 / total avis exploitables, croisé avec retours plateaux</v>
      </c>
      <c r="AD29" s="1141" t="str">
        <f>IF(P29&lt;75,"Résultat fragile : ne pas déployer sans correction",IF(O29&gt;=75,"Gain économique à vérifier car pertes élevées","Résultat exploitable : arbitrage coût/acceptabilité correct"))</f>
        <v>Résultat exploitable : arbitrage coût/acceptabilité correct</v>
      </c>
      <c r="AE29" s="1141" t="str">
        <f>IF(SUM(I17:I28)&gt;0,"Toujours prévoir lecture allergène gluten pour le seitan","Utiliser comme support de débat CFA : coût, goût, gaspillage, satisfaction")</f>
        <v>Toujours prévoir lecture allergène gluten pour le seitan</v>
      </c>
    </row>
    <row r="30" spans="1:31" x14ac:dyDescent="0.25">
      <c r="A30" s="92"/>
      <c r="B30" s="92"/>
      <c r="C30" s="92"/>
      <c r="D30" s="92"/>
      <c r="E30" s="92"/>
      <c r="F30" s="92"/>
      <c r="G30" s="92"/>
      <c r="H30" s="92"/>
      <c r="I30" s="92"/>
      <c r="J30" s="92"/>
      <c r="K30" s="92"/>
      <c r="L30" s="92"/>
      <c r="M30" s="92"/>
      <c r="N30" s="92"/>
      <c r="O30" s="92"/>
      <c r="P30" s="92"/>
      <c r="Q30" s="92"/>
      <c r="R30" s="92"/>
      <c r="S30" s="92"/>
      <c r="T30" s="1142"/>
      <c r="U30" s="1142"/>
      <c r="V30" s="1142"/>
      <c r="W30" s="1142"/>
      <c r="X30" s="1142"/>
      <c r="Y30" s="1142"/>
      <c r="Z30" s="1142"/>
      <c r="AA30" s="1142"/>
      <c r="AB30" s="1142"/>
      <c r="AC30" s="1142"/>
      <c r="AD30" s="1142"/>
      <c r="AE30" s="1143"/>
    </row>
    <row r="31" spans="1:31" x14ac:dyDescent="0.25">
      <c r="A31" s="92"/>
      <c r="B31" s="92"/>
      <c r="C31" s="92"/>
      <c r="D31" s="92"/>
      <c r="E31" s="92"/>
      <c r="F31" s="92"/>
      <c r="G31" s="92"/>
      <c r="H31" s="92"/>
      <c r="I31" s="92"/>
      <c r="J31" s="92"/>
      <c r="K31" s="92"/>
      <c r="L31" s="92"/>
      <c r="M31" s="92"/>
      <c r="N31" s="92"/>
      <c r="O31" s="92"/>
      <c r="P31" s="92"/>
      <c r="Q31" s="92"/>
      <c r="R31" s="92"/>
      <c r="S31" s="92"/>
      <c r="T31" s="1144"/>
      <c r="U31" s="1144"/>
      <c r="V31" s="1144"/>
      <c r="W31" s="1144"/>
      <c r="X31" s="1144"/>
      <c r="Y31" s="1144"/>
      <c r="Z31" s="1144"/>
      <c r="AA31" s="1144"/>
      <c r="AB31" s="1144"/>
      <c r="AC31" s="1144"/>
      <c r="AD31" s="1144"/>
      <c r="AE31" s="1145"/>
    </row>
    <row r="32" spans="1:31" ht="57.95" customHeight="1" x14ac:dyDescent="0.25">
      <c r="A32" s="1137" t="s">
        <v>2426</v>
      </c>
      <c r="B32" s="1146" t="s">
        <v>2166</v>
      </c>
      <c r="C32" s="1147"/>
      <c r="D32" s="1148" t="s">
        <v>2521</v>
      </c>
      <c r="E32" s="1137" t="s">
        <v>2468</v>
      </c>
      <c r="F32" s="1149" t="s">
        <v>2522</v>
      </c>
      <c r="G32" s="1149"/>
      <c r="H32" s="1150" t="s">
        <v>2523</v>
      </c>
      <c r="I32" s="1149"/>
      <c r="J32" s="1149"/>
      <c r="K32" s="92"/>
      <c r="L32" s="92"/>
      <c r="M32" s="92"/>
      <c r="N32" s="92"/>
      <c r="O32" s="92"/>
      <c r="P32" s="92"/>
      <c r="Q32" s="92"/>
      <c r="R32" s="92"/>
      <c r="T32" s="80" t="s">
        <v>2784</v>
      </c>
      <c r="U32" s="80" t="s">
        <v>2471</v>
      </c>
      <c r="V32" s="80" t="s">
        <v>2785</v>
      </c>
      <c r="W32" s="80" t="s">
        <v>2786</v>
      </c>
      <c r="X32" s="80" t="s">
        <v>2787</v>
      </c>
      <c r="Y32" s="80" t="s">
        <v>2788</v>
      </c>
      <c r="Z32" s="80"/>
      <c r="AA32" s="80"/>
      <c r="AB32" s="80"/>
      <c r="AC32" s="80"/>
      <c r="AD32" s="80"/>
      <c r="AE32" s="80"/>
    </row>
    <row r="33" spans="1:31" ht="57.95" customHeight="1" x14ac:dyDescent="0.25">
      <c r="A33" s="81" t="s">
        <v>2524</v>
      </c>
      <c r="B33" s="1151" t="str">
        <f>B13&amp;" repas/an pour "&amp;B9&amp;" convives/jour sur "&amp;B12&amp;" jours de service."</f>
        <v>534600 repas/an pour 4050 convives/jour sur 132 jours de service.</v>
      </c>
      <c r="C33" s="1152"/>
      <c r="D33" s="71" t="s">
        <v>2525</v>
      </c>
      <c r="E33" s="72" t="s">
        <v>2526</v>
      </c>
      <c r="F33" s="841" t="s">
        <v>2527</v>
      </c>
      <c r="G33" s="842"/>
      <c r="H33" s="843" t="s">
        <v>2528</v>
      </c>
      <c r="I33" s="844"/>
      <c r="J33" s="845"/>
      <c r="K33" s="92"/>
      <c r="L33" s="92"/>
      <c r="M33" s="92"/>
      <c r="N33" s="92"/>
      <c r="O33" s="92"/>
      <c r="P33" s="92"/>
      <c r="Q33" s="92"/>
      <c r="R33" s="92"/>
      <c r="T33" s="1153" t="s">
        <v>2501</v>
      </c>
      <c r="U33" s="1153" t="s">
        <v>2789</v>
      </c>
      <c r="V33" s="1153" t="s">
        <v>2790</v>
      </c>
      <c r="W33" s="1153" t="s">
        <v>2791</v>
      </c>
      <c r="X33" s="1153" t="s">
        <v>2792</v>
      </c>
      <c r="Y33" s="1153" t="s">
        <v>2793</v>
      </c>
      <c r="Z33" s="1154"/>
      <c r="AA33" s="1155"/>
      <c r="AB33" s="1155"/>
      <c r="AC33" s="1155"/>
      <c r="AD33" s="1155"/>
      <c r="AE33" s="1155"/>
    </row>
    <row r="34" spans="1:31" ht="57.95" customHeight="1" x14ac:dyDescent="0.25">
      <c r="A34" s="81" t="s">
        <v>1625</v>
      </c>
      <c r="B34" s="1151" t="str">
        <f>E29&amp;" menus végétariens ; "&amp;G29&amp;" recettes avec légumineuses ; "&amp;H29&amp;" recettes soja ; "&amp;I29&amp;" recettes seitan/gluten."</f>
        <v>33 menus végétariens ; 23 recettes avec légumineuses ; 3 recettes soja ; 2 recettes seitan/gluten.</v>
      </c>
      <c r="C34" s="1152"/>
      <c r="D34" s="71" t="s">
        <v>2529</v>
      </c>
      <c r="E34" s="82">
        <f>B9</f>
        <v>4050</v>
      </c>
      <c r="F34" s="841" t="s">
        <v>2530</v>
      </c>
      <c r="G34" s="842"/>
      <c r="H34" s="843" t="s">
        <v>2531</v>
      </c>
      <c r="I34" s="844"/>
      <c r="J34" s="845"/>
      <c r="K34" s="92"/>
      <c r="L34" s="92"/>
      <c r="M34" s="92"/>
      <c r="N34" s="92"/>
      <c r="O34" s="92"/>
      <c r="P34" s="92"/>
      <c r="Q34" s="92"/>
      <c r="R34" s="92"/>
      <c r="T34" s="1153" t="s">
        <v>1961</v>
      </c>
      <c r="U34" s="1153" t="s">
        <v>2794</v>
      </c>
      <c r="V34" s="1153" t="s">
        <v>2795</v>
      </c>
      <c r="W34" s="1153" t="s">
        <v>2796</v>
      </c>
      <c r="X34" s="1153" t="s">
        <v>2797</v>
      </c>
      <c r="Y34" s="1153" t="s">
        <v>2798</v>
      </c>
      <c r="Z34" s="1156"/>
      <c r="AA34" s="1157"/>
      <c r="AB34" s="1157"/>
      <c r="AC34" s="1157"/>
      <c r="AD34" s="1157"/>
      <c r="AE34" s="1157"/>
    </row>
    <row r="35" spans="1:31" ht="57.95" customHeight="1" x14ac:dyDescent="0.25">
      <c r="A35" s="81" t="s">
        <v>1545</v>
      </c>
      <c r="B35" s="1151" t="str">
        <f>IF(N29&gt;=0,"Économie matière estimée : "&amp;ROUND(N29,0)&amp;" € sur les menus végétaux.","Surcoût matière estimé : "&amp;ROUND(-N29,0)&amp;" € sur les menus végétaux.")</f>
        <v>Économie matière estimée : 71847 € sur les menus végétaux.</v>
      </c>
      <c r="C35" s="1152"/>
      <c r="D35" s="71" t="s">
        <v>2532</v>
      </c>
      <c r="E35" s="83">
        <v>0.82</v>
      </c>
      <c r="F35" s="841" t="s">
        <v>2533</v>
      </c>
      <c r="G35" s="842"/>
      <c r="H35" s="843" t="s">
        <v>2534</v>
      </c>
      <c r="I35" s="844"/>
      <c r="J35" s="845"/>
      <c r="K35" s="92"/>
      <c r="L35" s="92"/>
      <c r="M35" s="92"/>
      <c r="N35" s="92"/>
      <c r="O35" s="92"/>
      <c r="P35" s="92"/>
      <c r="Q35" s="92"/>
      <c r="R35" s="92"/>
      <c r="T35" s="1153" t="s">
        <v>1962</v>
      </c>
      <c r="U35" s="1153" t="s">
        <v>2799</v>
      </c>
      <c r="V35" s="1153" t="s">
        <v>2800</v>
      </c>
      <c r="W35" s="1153" t="s">
        <v>2801</v>
      </c>
      <c r="X35" s="1153" t="s">
        <v>2802</v>
      </c>
      <c r="Y35" s="1153" t="s">
        <v>2803</v>
      </c>
      <c r="Z35" s="1156"/>
      <c r="AA35" s="1157"/>
      <c r="AB35" s="1157"/>
      <c r="AC35" s="1157"/>
      <c r="AD35" s="1157"/>
      <c r="AE35" s="1157"/>
    </row>
    <row r="36" spans="1:31" ht="57.95" customHeight="1" x14ac:dyDescent="0.25">
      <c r="A36" s="81" t="s">
        <v>1235</v>
      </c>
      <c r="B36" s="1151" t="str">
        <f>"Satisfaction moyenne : "&amp;ROUND(P29,1)&amp;" % ; gaspillage moyen : "&amp;ROUND(O29,0)&amp;" g/convive."</f>
        <v>Satisfaction moyenne : 76.1 % ; gaspillage moyen : 70 g/convive.</v>
      </c>
      <c r="C36" s="1152"/>
      <c r="D36" s="71" t="s">
        <v>2535</v>
      </c>
      <c r="E36" s="83">
        <v>1.45</v>
      </c>
      <c r="F36" s="841" t="s">
        <v>2536</v>
      </c>
      <c r="G36" s="842"/>
      <c r="H36" s="843" t="s">
        <v>2537</v>
      </c>
      <c r="I36" s="844"/>
      <c r="J36" s="845"/>
      <c r="K36" s="92"/>
      <c r="L36" s="92"/>
      <c r="M36" s="92"/>
      <c r="N36" s="92"/>
      <c r="O36" s="92"/>
      <c r="P36" s="92"/>
      <c r="Q36" s="92"/>
      <c r="R36" s="92"/>
      <c r="T36" s="1153" t="s">
        <v>2804</v>
      </c>
      <c r="U36" s="1153" t="s">
        <v>2805</v>
      </c>
      <c r="V36" s="1153" t="s">
        <v>2806</v>
      </c>
      <c r="W36" s="1153" t="s">
        <v>2807</v>
      </c>
      <c r="X36" s="1153" t="s">
        <v>2808</v>
      </c>
      <c r="Y36" s="1153" t="s">
        <v>2809</v>
      </c>
      <c r="Z36" s="1156"/>
      <c r="AA36" s="1157"/>
      <c r="AB36" s="1157"/>
      <c r="AC36" s="1157"/>
      <c r="AD36" s="1157"/>
      <c r="AE36" s="1157"/>
    </row>
    <row r="37" spans="1:31" ht="57.95" customHeight="1" x14ac:dyDescent="0.25">
      <c r="A37" s="81" t="s">
        <v>1483</v>
      </c>
      <c r="B37" s="1151" t="str">
        <f>IF(I29&gt;0,"Seitan présent : contrôle allergène gluten obligatoire et alternative sans gluten.","Pas de seitan dans l’exemple annuel.")</f>
        <v>Seitan présent : contrôle allergène gluten obligatoire et alternative sans gluten.</v>
      </c>
      <c r="C37" s="1152"/>
      <c r="D37" s="71" t="s">
        <v>2538</v>
      </c>
      <c r="E37" s="84">
        <f>E36-E35</f>
        <v>0.63</v>
      </c>
      <c r="F37" s="841" t="s">
        <v>2539</v>
      </c>
      <c r="G37" s="842"/>
      <c r="H37" s="843" t="s">
        <v>2540</v>
      </c>
      <c r="I37" s="844"/>
      <c r="J37" s="845"/>
      <c r="K37" s="92"/>
      <c r="L37" s="92"/>
      <c r="M37" s="92"/>
      <c r="N37" s="92"/>
      <c r="O37" s="92"/>
      <c r="P37" s="92"/>
      <c r="Q37" s="92"/>
      <c r="R37" s="92"/>
      <c r="T37" s="1153" t="s">
        <v>2810</v>
      </c>
      <c r="U37" s="1153" t="s">
        <v>2811</v>
      </c>
      <c r="V37" s="1153" t="s">
        <v>2812</v>
      </c>
      <c r="W37" s="1153" t="s">
        <v>2813</v>
      </c>
      <c r="X37" s="1153" t="s">
        <v>2814</v>
      </c>
      <c r="Y37" s="1153" t="s">
        <v>2815</v>
      </c>
      <c r="Z37" s="1156"/>
      <c r="AA37" s="1157"/>
      <c r="AB37" s="1157"/>
      <c r="AC37" s="1157"/>
      <c r="AD37" s="1157"/>
      <c r="AE37" s="1157"/>
    </row>
    <row r="38" spans="1:31" ht="57.95" customHeight="1" x14ac:dyDescent="0.25">
      <c r="A38" s="81" t="s">
        <v>2428</v>
      </c>
      <c r="B38" s="1151" t="str">
        <f>IF(G29&lt;E29*0.6,"Diversification insuffisante : augmenter pois chiches, haricots, pois cassés, fèves, tofu/tempeh.","Diversification correcte : éviter de rester uniquement sur les lentilles.")</f>
        <v>Diversification correcte : éviter de rester uniquement sur les lentilles.</v>
      </c>
      <c r="C38" s="1152"/>
      <c r="D38" s="71" t="s">
        <v>2541</v>
      </c>
      <c r="E38" s="84">
        <f>E37*E34</f>
        <v>2551.5</v>
      </c>
      <c r="F38" s="841" t="s">
        <v>2542</v>
      </c>
      <c r="G38" s="842"/>
      <c r="H38" s="843"/>
      <c r="I38" s="844"/>
      <c r="J38" s="845"/>
      <c r="K38" s="92"/>
      <c r="L38" s="92"/>
      <c r="M38" s="92"/>
      <c r="N38" s="92"/>
      <c r="O38" s="92"/>
      <c r="P38" s="92"/>
      <c r="Q38" s="92"/>
      <c r="R38" s="92"/>
      <c r="T38" s="1153" t="s">
        <v>2816</v>
      </c>
      <c r="U38" s="1153" t="s">
        <v>2817</v>
      </c>
      <c r="V38" s="1153" t="s">
        <v>2818</v>
      </c>
      <c r="W38" s="1153" t="s">
        <v>2819</v>
      </c>
      <c r="X38" s="1153" t="s">
        <v>2820</v>
      </c>
      <c r="Y38" s="1153" t="s">
        <v>2821</v>
      </c>
      <c r="Z38" s="1156"/>
      <c r="AA38" s="1157"/>
      <c r="AB38" s="1157"/>
      <c r="AC38" s="1157"/>
      <c r="AD38" s="1157"/>
      <c r="AE38" s="1157"/>
    </row>
    <row r="39" spans="1:31" ht="57.95" customHeight="1" x14ac:dyDescent="0.25">
      <c r="A39" s="81"/>
      <c r="B39" s="1158"/>
      <c r="C39" s="1159"/>
      <c r="D39" s="85" t="s">
        <v>2543</v>
      </c>
      <c r="E39" s="72" t="s">
        <v>2544</v>
      </c>
      <c r="F39" s="846" t="s">
        <v>2545</v>
      </c>
      <c r="G39" s="847"/>
      <c r="H39" s="848"/>
      <c r="I39" s="849"/>
      <c r="J39" s="850"/>
      <c r="K39" s="92"/>
      <c r="L39" s="92"/>
      <c r="M39" s="92"/>
      <c r="N39" s="92"/>
      <c r="O39" s="92"/>
      <c r="P39" s="92"/>
      <c r="Q39" s="92"/>
      <c r="R39" s="92"/>
      <c r="T39" s="1153" t="s">
        <v>2822</v>
      </c>
      <c r="U39" s="1153" t="s">
        <v>2823</v>
      </c>
      <c r="V39" s="1153" t="s">
        <v>2824</v>
      </c>
      <c r="W39" s="1153" t="s">
        <v>2825</v>
      </c>
      <c r="X39" s="1153" t="s">
        <v>2826</v>
      </c>
      <c r="Y39" s="1153" t="s">
        <v>2827</v>
      </c>
      <c r="Z39" s="1156"/>
      <c r="AA39" s="1157"/>
      <c r="AB39" s="1157"/>
      <c r="AC39" s="1157"/>
      <c r="AD39" s="1157"/>
      <c r="AE39" s="1157"/>
    </row>
    <row r="40" spans="1:31" x14ac:dyDescent="0.25">
      <c r="A40" s="92"/>
      <c r="B40" s="92"/>
      <c r="C40" s="92"/>
      <c r="D40" s="92"/>
      <c r="E40" s="92"/>
      <c r="F40" s="92"/>
      <c r="G40" s="92"/>
      <c r="H40" s="92"/>
      <c r="I40" s="92"/>
      <c r="J40" s="92"/>
      <c r="K40" s="92"/>
      <c r="L40" s="92"/>
      <c r="M40" s="92"/>
      <c r="N40" s="92"/>
      <c r="O40" s="92"/>
      <c r="P40" s="92"/>
      <c r="Q40" s="92"/>
      <c r="R40" s="92"/>
      <c r="S40" s="92"/>
      <c r="T40" s="1114"/>
      <c r="U40" s="1114"/>
      <c r="V40" s="1114"/>
      <c r="W40" s="1114"/>
      <c r="X40" s="1114"/>
      <c r="Y40" s="1114"/>
      <c r="Z40" s="1114"/>
      <c r="AA40" s="1114"/>
      <c r="AB40" s="1114"/>
      <c r="AC40" s="1114"/>
      <c r="AD40" s="1114"/>
      <c r="AE40" s="1114"/>
    </row>
    <row r="41" spans="1:31" x14ac:dyDescent="0.25">
      <c r="A41" s="92"/>
      <c r="B41" s="92"/>
      <c r="C41" s="92"/>
      <c r="D41" s="92"/>
      <c r="E41" s="92"/>
      <c r="F41" s="92"/>
      <c r="G41" s="92"/>
      <c r="H41" s="92"/>
      <c r="I41" s="92"/>
      <c r="J41" s="92"/>
      <c r="K41" s="92"/>
      <c r="L41" s="92"/>
      <c r="M41" s="92"/>
      <c r="N41" s="92"/>
      <c r="O41" s="92"/>
      <c r="P41" s="92"/>
      <c r="Q41" s="92"/>
      <c r="R41" s="92"/>
      <c r="S41" s="92"/>
      <c r="T41" s="1114"/>
      <c r="U41" s="1114"/>
      <c r="V41" s="1114"/>
      <c r="W41" s="1114"/>
      <c r="X41" s="1114"/>
      <c r="Y41" s="1114"/>
      <c r="Z41" s="1114"/>
      <c r="AA41" s="1114"/>
      <c r="AB41" s="1114"/>
      <c r="AC41" s="1114"/>
      <c r="AD41" s="1114"/>
      <c r="AE41" s="1114"/>
    </row>
    <row r="42" spans="1:31" ht="42" customHeight="1" x14ac:dyDescent="0.25">
      <c r="A42" s="92"/>
      <c r="B42" s="1160" t="s">
        <v>2546</v>
      </c>
      <c r="C42" s="1161"/>
      <c r="D42" s="1161"/>
      <c r="E42" s="1161"/>
      <c r="F42" s="1161"/>
      <c r="G42" s="1161"/>
      <c r="H42" s="1162"/>
      <c r="I42" s="92"/>
      <c r="J42" s="92"/>
      <c r="K42" s="92"/>
      <c r="L42" s="92"/>
      <c r="M42" s="92"/>
      <c r="N42" s="92"/>
      <c r="O42" s="92"/>
      <c r="P42" s="92"/>
      <c r="Q42" s="92"/>
      <c r="R42" s="92"/>
      <c r="S42" s="92"/>
      <c r="T42" s="1114"/>
      <c r="U42" s="1114"/>
      <c r="V42" s="1114"/>
      <c r="W42" s="1114"/>
      <c r="X42" s="1114"/>
      <c r="Y42" s="1114"/>
      <c r="Z42" s="1114"/>
      <c r="AA42" s="1114"/>
      <c r="AB42" s="1114"/>
      <c r="AC42" s="1114"/>
      <c r="AD42" s="1114"/>
      <c r="AE42" s="1114"/>
    </row>
    <row r="43" spans="1:31" ht="42" customHeight="1" x14ac:dyDescent="0.25">
      <c r="A43" s="92"/>
      <c r="B43" s="86" t="s">
        <v>2547</v>
      </c>
      <c r="C43" s="93"/>
      <c r="D43" s="93"/>
      <c r="E43" s="93"/>
      <c r="F43" s="93"/>
      <c r="G43" s="93"/>
      <c r="H43" s="94"/>
      <c r="I43" s="92"/>
      <c r="J43" s="92"/>
      <c r="K43" s="92"/>
      <c r="L43" s="92"/>
      <c r="M43" s="92"/>
      <c r="N43" s="92"/>
      <c r="O43" s="92"/>
      <c r="P43" s="92"/>
      <c r="Q43" s="92"/>
      <c r="R43" s="92"/>
      <c r="S43" s="92"/>
      <c r="T43" s="1114"/>
      <c r="U43" s="1114"/>
      <c r="V43" s="1114"/>
      <c r="W43" s="1114"/>
      <c r="X43" s="1114"/>
      <c r="Y43" s="1114"/>
      <c r="Z43" s="1114"/>
      <c r="AA43" s="1114"/>
      <c r="AB43" s="1114"/>
      <c r="AC43" s="1114"/>
      <c r="AD43" s="1114"/>
      <c r="AE43" s="1114"/>
    </row>
    <row r="44" spans="1:31" ht="42" customHeight="1" x14ac:dyDescent="0.25">
      <c r="A44" s="92"/>
      <c r="B44" s="86" t="s">
        <v>2548</v>
      </c>
      <c r="C44" s="93"/>
      <c r="D44" s="93"/>
      <c r="E44" s="93"/>
      <c r="F44" s="93"/>
      <c r="G44" s="93"/>
      <c r="H44" s="94"/>
      <c r="I44" s="92"/>
      <c r="J44" s="92"/>
      <c r="K44" s="92"/>
      <c r="L44" s="92"/>
      <c r="M44" s="92"/>
      <c r="N44" s="92"/>
      <c r="O44" s="92"/>
      <c r="P44" s="92"/>
      <c r="Q44" s="92"/>
      <c r="R44" s="92"/>
      <c r="S44" s="92"/>
      <c r="T44" s="1114"/>
      <c r="U44" s="1114"/>
      <c r="V44" s="1114"/>
      <c r="W44" s="1114"/>
      <c r="X44" s="1114"/>
      <c r="Y44" s="1114"/>
      <c r="Z44" s="1114"/>
      <c r="AA44" s="1114"/>
      <c r="AB44" s="1114"/>
      <c r="AC44" s="1114"/>
      <c r="AD44" s="1114"/>
      <c r="AE44" s="1114"/>
    </row>
    <row r="45" spans="1:31" ht="42" customHeight="1" x14ac:dyDescent="0.25">
      <c r="A45" s="92"/>
      <c r="B45" s="86" t="s">
        <v>2549</v>
      </c>
      <c r="C45" s="93"/>
      <c r="D45" s="93"/>
      <c r="E45" s="93"/>
      <c r="F45" s="93"/>
      <c r="G45" s="93"/>
      <c r="H45" s="94"/>
      <c r="I45" s="92"/>
      <c r="J45" s="92"/>
      <c r="K45" s="92"/>
      <c r="L45" s="92"/>
      <c r="M45" s="92"/>
      <c r="N45" s="92"/>
      <c r="O45" s="92"/>
      <c r="P45" s="92"/>
      <c r="Q45" s="92"/>
      <c r="R45" s="92"/>
      <c r="S45" s="92"/>
      <c r="T45" s="1114"/>
      <c r="U45" s="1114"/>
      <c r="V45" s="1114"/>
      <c r="W45" s="1114"/>
      <c r="X45" s="1114"/>
      <c r="Y45" s="1114"/>
      <c r="Z45" s="1114"/>
      <c r="AA45" s="1114"/>
      <c r="AB45" s="1114"/>
      <c r="AC45" s="1114"/>
      <c r="AD45" s="1114"/>
      <c r="AE45" s="1114"/>
    </row>
    <row r="46" spans="1:31" ht="42" customHeight="1" x14ac:dyDescent="0.25">
      <c r="A46" s="92"/>
      <c r="B46" s="86" t="s">
        <v>2550</v>
      </c>
      <c r="C46" s="93"/>
      <c r="D46" s="93"/>
      <c r="E46" s="93"/>
      <c r="F46" s="93"/>
      <c r="G46" s="93"/>
      <c r="H46" s="94"/>
      <c r="I46" s="92"/>
      <c r="J46" s="92"/>
      <c r="K46" s="92"/>
      <c r="L46" s="92"/>
      <c r="M46" s="92"/>
      <c r="N46" s="92"/>
      <c r="O46" s="92"/>
      <c r="P46" s="92"/>
      <c r="Q46" s="92"/>
      <c r="R46" s="92"/>
      <c r="S46" s="92"/>
      <c r="T46" s="1114"/>
      <c r="U46" s="1114"/>
      <c r="V46" s="1114"/>
      <c r="W46" s="1114"/>
      <c r="X46" s="1114"/>
      <c r="Y46" s="1114"/>
      <c r="Z46" s="1114"/>
      <c r="AA46" s="1114"/>
      <c r="AB46" s="1114"/>
      <c r="AC46" s="1114"/>
      <c r="AD46" s="1114"/>
      <c r="AE46" s="1114"/>
    </row>
    <row r="47" spans="1:31" ht="15" x14ac:dyDescent="0.25">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row>
  </sheetData>
  <mergeCells count="23">
    <mergeCell ref="B39:C39"/>
    <mergeCell ref="F39:G39"/>
    <mergeCell ref="H39:J39"/>
    <mergeCell ref="B37:C37"/>
    <mergeCell ref="F37:G37"/>
    <mergeCell ref="H37:J37"/>
    <mergeCell ref="B38:C38"/>
    <mergeCell ref="F38:G38"/>
    <mergeCell ref="H38:J38"/>
    <mergeCell ref="B35:C35"/>
    <mergeCell ref="F35:G35"/>
    <mergeCell ref="H35:J35"/>
    <mergeCell ref="B36:C36"/>
    <mergeCell ref="F36:G36"/>
    <mergeCell ref="H36:J36"/>
    <mergeCell ref="A1:C1"/>
    <mergeCell ref="B32:C32"/>
    <mergeCell ref="B33:C33"/>
    <mergeCell ref="F33:G33"/>
    <mergeCell ref="H33:J33"/>
    <mergeCell ref="B34:C34"/>
    <mergeCell ref="F34:G34"/>
    <mergeCell ref="H34:J34"/>
  </mergeCells>
  <conditionalFormatting sqref="Z17:Z28">
    <cfRule type="containsText" dxfId="23" priority="1" operator="containsText" text="Alerte"/>
  </conditionalFormatting>
  <conditionalFormatting sqref="AB17:AB28">
    <cfRule type="containsText" dxfId="22" priority="2" operator="containsText" text="Alerte"/>
  </conditionalFormatting>
  <conditionalFormatting sqref="AD17:AD28">
    <cfRule type="containsText" dxfId="21" priority="3" operator="containsText" text="ne pas généraliser"/>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ED56-10A7-4A0B-B2E2-056CAA3CFC98}">
  <dimension ref="A1:P77"/>
  <sheetViews>
    <sheetView workbookViewId="0">
      <selection activeCell="A4" sqref="A4"/>
    </sheetView>
  </sheetViews>
  <sheetFormatPr baseColWidth="10" defaultColWidth="9.140625" defaultRowHeight="15" x14ac:dyDescent="0.25"/>
  <cols>
    <col min="1" max="1" width="32.85546875" style="1011" customWidth="1"/>
    <col min="2" max="2" width="23.85546875" style="1011" customWidth="1"/>
    <col min="3" max="3" width="24" style="1011" customWidth="1"/>
    <col min="4" max="4" width="18" style="1011" customWidth="1"/>
    <col min="5" max="5" width="16" style="1011" customWidth="1"/>
    <col min="6" max="6" width="20" style="1011" customWidth="1"/>
    <col min="7" max="7" width="22" style="1011" customWidth="1"/>
    <col min="8" max="8" width="18" style="1011" customWidth="1"/>
    <col min="9" max="11" width="14" style="1011" customWidth="1"/>
    <col min="12" max="12" width="18" style="1011" customWidth="1"/>
    <col min="13" max="13" width="13" style="1011" customWidth="1"/>
    <col min="14" max="14" width="16" style="1011" customWidth="1"/>
    <col min="15" max="15" width="14" style="1011" customWidth="1"/>
    <col min="16" max="16" width="52.28515625" style="1011" customWidth="1"/>
    <col min="17" max="17" width="27.7109375" style="1011" customWidth="1"/>
    <col min="18" max="16384" width="9.140625" style="1011"/>
  </cols>
  <sheetData>
    <row r="1" spans="1:16" ht="27.95" customHeight="1" x14ac:dyDescent="0.25">
      <c r="A1" s="1007" t="s">
        <v>2769</v>
      </c>
      <c r="B1" s="1008"/>
      <c r="C1" s="1008"/>
      <c r="D1" s="1008"/>
      <c r="E1" s="1008"/>
      <c r="F1" s="1008"/>
      <c r="G1" s="1008"/>
      <c r="H1" s="1008"/>
      <c r="I1" s="1008"/>
      <c r="J1" s="1008"/>
      <c r="K1" s="1009"/>
      <c r="L1" s="1009"/>
      <c r="M1" s="1009"/>
      <c r="N1" s="1009"/>
      <c r="O1" s="1009"/>
      <c r="P1" s="1010"/>
    </row>
    <row r="2" spans="1:16" ht="27.95" customHeight="1" x14ac:dyDescent="0.25">
      <c r="A2" s="1012" t="s">
        <v>2768</v>
      </c>
      <c r="B2" s="1013"/>
      <c r="C2" s="1013"/>
      <c r="D2" s="1013"/>
      <c r="E2" s="1013"/>
      <c r="F2" s="1013"/>
      <c r="G2" s="1013"/>
      <c r="H2" s="1013"/>
      <c r="I2" s="1013"/>
      <c r="J2" s="1013"/>
      <c r="K2" s="1014" t="s">
        <v>4701</v>
      </c>
      <c r="L2" s="1015"/>
      <c r="M2" s="1015"/>
      <c r="N2" s="1015"/>
      <c r="O2" s="1015"/>
      <c r="P2" s="1016"/>
    </row>
    <row r="3" spans="1:16" ht="27.95" customHeight="1" x14ac:dyDescent="0.25">
      <c r="A3" s="1017" t="str">
        <f>"Hypothèse retenue : "&amp;B6&amp;" - "&amp;A6&amp;"  |   "&amp;B8&amp;"-"&amp;A8&amp;"  |  "&amp; B7&amp;" - "&amp;A7&amp;"  |  "&amp;A15&amp;" - "&amp;C15</f>
        <v>Hypothèse retenue : 430 - Repas midi lundi-samedi  |   350-Repas soir tous les jours  |  580 - Repas midi dimanche familles incluses  |  Objectif tests protéines végétales - 1 test/semaine adapté EHPAD</v>
      </c>
      <c r="B3" s="1018"/>
      <c r="C3" s="1018"/>
      <c r="D3" s="1018"/>
      <c r="E3" s="1018"/>
      <c r="F3" s="1018"/>
      <c r="G3" s="1018"/>
      <c r="H3" s="1018"/>
      <c r="I3" s="1018"/>
      <c r="J3" s="1018"/>
      <c r="K3" s="1018"/>
      <c r="L3" s="1018"/>
      <c r="M3" s="1018"/>
      <c r="N3" s="1019"/>
      <c r="O3" s="1019"/>
      <c r="P3" s="1020"/>
    </row>
    <row r="4" spans="1:16" ht="21" customHeight="1" x14ac:dyDescent="0.25">
      <c r="A4" s="98" t="s">
        <v>5193</v>
      </c>
      <c r="B4" s="1022"/>
      <c r="C4" s="1022"/>
      <c r="D4" s="1022"/>
      <c r="E4" s="1022"/>
      <c r="F4" s="1022"/>
      <c r="G4" s="1022"/>
      <c r="H4" s="1022"/>
      <c r="I4" s="1022"/>
      <c r="J4" s="1022"/>
      <c r="K4" s="1022"/>
      <c r="L4" s="1022"/>
      <c r="M4" s="1022"/>
      <c r="N4" s="1022"/>
      <c r="O4" s="1023"/>
      <c r="P4" s="1023"/>
    </row>
    <row r="5" spans="1:16" ht="21" customHeight="1" x14ac:dyDescent="0.25">
      <c r="A5" s="1024" t="s">
        <v>2467</v>
      </c>
      <c r="B5" s="1024" t="s">
        <v>2468</v>
      </c>
      <c r="C5" s="1024" t="s">
        <v>2469</v>
      </c>
      <c r="D5" s="1024"/>
      <c r="E5" s="1025" t="s">
        <v>2470</v>
      </c>
      <c r="F5" s="1024"/>
      <c r="G5" s="1024" t="s">
        <v>2468</v>
      </c>
      <c r="H5" s="1025" t="s">
        <v>2471</v>
      </c>
      <c r="I5" s="1025"/>
      <c r="J5" s="1025"/>
      <c r="K5" s="1026" t="s">
        <v>2551</v>
      </c>
      <c r="L5" s="1026"/>
      <c r="M5" s="1026"/>
      <c r="N5" s="1022"/>
      <c r="O5" s="1022"/>
      <c r="P5" s="1022"/>
    </row>
    <row r="6" spans="1:16" ht="30" customHeight="1" x14ac:dyDescent="0.25">
      <c r="A6" s="1027" t="s">
        <v>2767</v>
      </c>
      <c r="B6" s="1028">
        <v>430</v>
      </c>
      <c r="C6" s="1029" t="s">
        <v>2766</v>
      </c>
      <c r="D6" s="1030"/>
      <c r="E6" s="1031" t="s">
        <v>2765</v>
      </c>
      <c r="F6" s="1032"/>
      <c r="G6" s="1033">
        <f>$B$11*$B$6+$B$10*$B$7</f>
        <v>164750</v>
      </c>
      <c r="H6" s="1034" t="s">
        <v>2764</v>
      </c>
      <c r="I6" s="1030"/>
      <c r="J6" s="1035"/>
      <c r="K6" s="69" t="s">
        <v>2552</v>
      </c>
      <c r="L6" s="1022"/>
      <c r="M6" s="1022"/>
      <c r="N6" s="1022"/>
      <c r="O6" s="1022"/>
      <c r="P6" s="1022"/>
    </row>
    <row r="7" spans="1:16" ht="30" customHeight="1" x14ac:dyDescent="0.25">
      <c r="A7" s="1027" t="s">
        <v>2763</v>
      </c>
      <c r="B7" s="1028">
        <v>580</v>
      </c>
      <c r="C7" s="1029" t="s">
        <v>2762</v>
      </c>
      <c r="D7" s="1030"/>
      <c r="E7" s="1031" t="s">
        <v>2761</v>
      </c>
      <c r="F7" s="1032"/>
      <c r="G7" s="1033">
        <f>$B$9*$B$8</f>
        <v>127750</v>
      </c>
      <c r="H7" s="1034" t="s">
        <v>2760</v>
      </c>
      <c r="I7" s="1030"/>
      <c r="J7" s="1035"/>
      <c r="K7" s="1022"/>
      <c r="L7" s="1022"/>
      <c r="M7" s="1022"/>
      <c r="N7" s="1022"/>
      <c r="O7" s="1022"/>
      <c r="P7" s="1022"/>
    </row>
    <row r="8" spans="1:16" ht="30" customHeight="1" x14ac:dyDescent="0.25">
      <c r="A8" s="1027" t="s">
        <v>2759</v>
      </c>
      <c r="B8" s="1028">
        <v>350</v>
      </c>
      <c r="C8" s="1029" t="s">
        <v>2758</v>
      </c>
      <c r="D8" s="1030"/>
      <c r="E8" s="1031" t="s">
        <v>2584</v>
      </c>
      <c r="F8" s="1032"/>
      <c r="G8" s="1033">
        <f>SUM(G6:G7)</f>
        <v>292500</v>
      </c>
      <c r="H8" s="1034" t="s">
        <v>2474</v>
      </c>
      <c r="I8" s="1030"/>
      <c r="J8" s="1035"/>
      <c r="K8" s="1022"/>
      <c r="L8" s="1022"/>
      <c r="M8" s="1022"/>
      <c r="N8" s="1022"/>
      <c r="O8" s="1022"/>
      <c r="P8" s="1022"/>
    </row>
    <row r="9" spans="1:16" ht="30" customHeight="1" x14ac:dyDescent="0.25">
      <c r="A9" s="1027" t="s">
        <v>2757</v>
      </c>
      <c r="B9" s="1028">
        <v>365</v>
      </c>
      <c r="C9" s="1029" t="s">
        <v>2756</v>
      </c>
      <c r="D9" s="1030"/>
      <c r="E9" s="1031" t="s">
        <v>2755</v>
      </c>
      <c r="F9" s="1032"/>
      <c r="G9" s="1036">
        <f>$B$10*($B$7-$B$6)</f>
        <v>7800</v>
      </c>
      <c r="H9" s="1034" t="s">
        <v>2754</v>
      </c>
      <c r="I9" s="1030"/>
      <c r="J9" s="1035"/>
      <c r="K9" s="1022"/>
      <c r="L9" s="1022"/>
      <c r="M9" s="1022"/>
      <c r="N9" s="1022"/>
      <c r="O9" s="1022"/>
      <c r="P9" s="1022"/>
    </row>
    <row r="10" spans="1:16" ht="30" customHeight="1" x14ac:dyDescent="0.25">
      <c r="A10" s="1027" t="s">
        <v>2753</v>
      </c>
      <c r="B10" s="1028">
        <v>52</v>
      </c>
      <c r="C10" s="1029" t="s">
        <v>2752</v>
      </c>
      <c r="D10" s="1030"/>
      <c r="E10" s="1031" t="s">
        <v>2751</v>
      </c>
      <c r="F10" s="1032"/>
      <c r="G10" s="1033">
        <f>ROUND(G6*$B$12+G7*$B$13,0)</f>
        <v>57760</v>
      </c>
      <c r="H10" s="1034" t="s">
        <v>2750</v>
      </c>
      <c r="I10" s="1030"/>
      <c r="J10" s="1035"/>
      <c r="K10" s="1022"/>
      <c r="L10" s="1022"/>
      <c r="M10" s="1022"/>
      <c r="N10" s="1022"/>
      <c r="O10" s="1022"/>
      <c r="P10" s="1022"/>
    </row>
    <row r="11" spans="1:16" ht="30" customHeight="1" x14ac:dyDescent="0.25">
      <c r="A11" s="1027" t="s">
        <v>2749</v>
      </c>
      <c r="B11" s="1037">
        <f>B9-B10</f>
        <v>313</v>
      </c>
      <c r="C11" s="1029" t="s">
        <v>2748</v>
      </c>
      <c r="D11" s="1030"/>
      <c r="E11" s="1031" t="s">
        <v>2747</v>
      </c>
      <c r="F11" s="1032"/>
      <c r="G11" s="1033">
        <f>ROUND(G8*$B$14,0)</f>
        <v>35100</v>
      </c>
      <c r="H11" s="1034" t="s">
        <v>2746</v>
      </c>
      <c r="I11" s="1030"/>
      <c r="J11" s="1035"/>
      <c r="K11" s="1022"/>
      <c r="L11" s="1022"/>
      <c r="M11" s="1022"/>
      <c r="N11" s="1022"/>
      <c r="O11" s="1022"/>
      <c r="P11" s="1022"/>
    </row>
    <row r="12" spans="1:16" ht="30" customHeight="1" x14ac:dyDescent="0.25">
      <c r="A12" s="1027" t="s">
        <v>2745</v>
      </c>
      <c r="B12" s="1038">
        <v>0.18</v>
      </c>
      <c r="C12" s="1029" t="s">
        <v>2741</v>
      </c>
      <c r="D12" s="1030"/>
      <c r="E12" s="1031" t="s">
        <v>2744</v>
      </c>
      <c r="F12" s="1032"/>
      <c r="G12" s="1036">
        <f>$B$9*$B$16</f>
        <v>730</v>
      </c>
      <c r="H12" s="1034" t="s">
        <v>2743</v>
      </c>
      <c r="I12" s="1030"/>
      <c r="J12" s="1035"/>
      <c r="K12" s="1022"/>
      <c r="L12" s="1022"/>
      <c r="M12" s="1022"/>
      <c r="N12" s="1022"/>
      <c r="O12" s="1022"/>
      <c r="P12" s="1022"/>
    </row>
    <row r="13" spans="1:16" ht="30" customHeight="1" x14ac:dyDescent="0.25">
      <c r="A13" s="1027" t="s">
        <v>2742</v>
      </c>
      <c r="B13" s="1038">
        <v>0.22</v>
      </c>
      <c r="C13" s="1029" t="s">
        <v>2741</v>
      </c>
      <c r="D13" s="1030"/>
      <c r="E13" s="1031" t="s">
        <v>2740</v>
      </c>
      <c r="F13" s="1032"/>
      <c r="G13" s="1036">
        <f>$B$15</f>
        <v>52</v>
      </c>
      <c r="H13" s="1034" t="s">
        <v>2739</v>
      </c>
      <c r="I13" s="1030"/>
      <c r="J13" s="1035"/>
      <c r="K13" s="1022"/>
      <c r="L13" s="1022"/>
      <c r="M13" s="1022"/>
      <c r="N13" s="1022"/>
      <c r="O13" s="1022"/>
      <c r="P13" s="1022"/>
    </row>
    <row r="14" spans="1:16" ht="30" customHeight="1" x14ac:dyDescent="0.25">
      <c r="A14" s="1027" t="s">
        <v>2738</v>
      </c>
      <c r="B14" s="1039">
        <v>0.12</v>
      </c>
      <c r="C14" s="1029" t="s">
        <v>2737</v>
      </c>
      <c r="D14" s="1030"/>
      <c r="E14" s="1031" t="s">
        <v>2736</v>
      </c>
      <c r="F14" s="1032"/>
      <c r="G14" s="1033">
        <f>G10+G11</f>
        <v>92860</v>
      </c>
      <c r="H14" s="1034" t="s">
        <v>2735</v>
      </c>
      <c r="I14" s="1030"/>
      <c r="J14" s="1035"/>
      <c r="K14" s="1022"/>
      <c r="L14" s="1022"/>
      <c r="M14" s="1022"/>
      <c r="N14" s="1022"/>
      <c r="O14" s="1022"/>
      <c r="P14" s="1022"/>
    </row>
    <row r="15" spans="1:16" ht="30" customHeight="1" x14ac:dyDescent="0.25">
      <c r="A15" s="1027" t="s">
        <v>2734</v>
      </c>
      <c r="B15" s="1039">
        <v>52</v>
      </c>
      <c r="C15" s="1029" t="s">
        <v>2733</v>
      </c>
      <c r="D15" s="1030"/>
      <c r="E15" s="1031" t="s">
        <v>2732</v>
      </c>
      <c r="F15" s="1032"/>
      <c r="G15" s="1033">
        <f>$B$10*$B$7</f>
        <v>30160</v>
      </c>
      <c r="H15" s="1034" t="s">
        <v>2731</v>
      </c>
      <c r="I15" s="1030"/>
      <c r="J15" s="1035"/>
      <c r="K15" s="1022"/>
      <c r="L15" s="1022"/>
      <c r="M15" s="1022"/>
      <c r="N15" s="1022"/>
      <c r="O15" s="1022"/>
      <c r="P15" s="1022"/>
    </row>
    <row r="16" spans="1:16" ht="30" customHeight="1" x14ac:dyDescent="0.25">
      <c r="A16" s="1027" t="s">
        <v>2730</v>
      </c>
      <c r="B16" s="1039">
        <v>2</v>
      </c>
      <c r="C16" s="1029" t="s">
        <v>2729</v>
      </c>
      <c r="D16" s="1030"/>
      <c r="E16" s="1031" t="s">
        <v>2728</v>
      </c>
      <c r="F16" s="1032"/>
      <c r="G16" s="1033">
        <f>G8-G15</f>
        <v>262340</v>
      </c>
      <c r="H16" s="1034" t="s">
        <v>2727</v>
      </c>
      <c r="I16" s="1030"/>
      <c r="J16" s="1035"/>
      <c r="K16" s="1022"/>
      <c r="L16" s="1022"/>
      <c r="M16" s="1022"/>
      <c r="N16" s="1022"/>
      <c r="O16" s="1022"/>
      <c r="P16" s="1022"/>
    </row>
    <row r="17" spans="1:16" ht="30" customHeight="1" x14ac:dyDescent="0.25">
      <c r="A17" s="1040"/>
      <c r="B17" s="1022"/>
      <c r="C17" s="1022"/>
      <c r="D17" s="1022"/>
      <c r="E17" s="1022"/>
      <c r="F17" s="1022"/>
      <c r="G17" s="1022"/>
      <c r="H17" s="1022"/>
      <c r="I17" s="1022"/>
      <c r="J17" s="1022"/>
      <c r="K17" s="1022"/>
      <c r="L17" s="1022"/>
      <c r="M17" s="1022"/>
      <c r="N17" s="1022"/>
      <c r="O17" s="1022"/>
      <c r="P17" s="215" t="s">
        <v>3503</v>
      </c>
    </row>
    <row r="18" spans="1:16" ht="21" customHeight="1" x14ac:dyDescent="0.25">
      <c r="A18" s="1041">
        <f t="shared" ref="A18:P18" ca="1" si="0">INDEX(CELL("largeur",A18),1,1)</f>
        <v>32</v>
      </c>
      <c r="B18" s="1041">
        <f t="shared" ca="1" si="0"/>
        <v>23</v>
      </c>
      <c r="C18" s="1041">
        <f t="shared" ca="1" si="0"/>
        <v>23</v>
      </c>
      <c r="D18" s="1041">
        <f t="shared" ca="1" si="0"/>
        <v>17</v>
      </c>
      <c r="E18" s="1041">
        <f t="shared" ca="1" si="0"/>
        <v>15</v>
      </c>
      <c r="F18" s="1041">
        <f t="shared" ca="1" si="0"/>
        <v>19</v>
      </c>
      <c r="G18" s="1041">
        <f t="shared" ca="1" si="0"/>
        <v>21</v>
      </c>
      <c r="H18" s="1041">
        <f t="shared" ca="1" si="0"/>
        <v>17</v>
      </c>
      <c r="I18" s="1041">
        <f t="shared" ca="1" si="0"/>
        <v>13</v>
      </c>
      <c r="J18" s="1041">
        <f t="shared" ca="1" si="0"/>
        <v>13</v>
      </c>
      <c r="K18" s="1041">
        <f t="shared" ca="1" si="0"/>
        <v>13</v>
      </c>
      <c r="L18" s="1041">
        <f t="shared" ca="1" si="0"/>
        <v>17</v>
      </c>
      <c r="M18" s="1041">
        <f t="shared" ca="1" si="0"/>
        <v>12</v>
      </c>
      <c r="N18" s="1041">
        <f t="shared" ca="1" si="0"/>
        <v>15</v>
      </c>
      <c r="O18" s="1041">
        <f t="shared" ca="1" si="0"/>
        <v>13</v>
      </c>
      <c r="P18" s="1041">
        <f t="shared" ca="1" si="0"/>
        <v>52</v>
      </c>
    </row>
    <row r="19" spans="1:16" ht="27.95" customHeight="1" x14ac:dyDescent="0.25">
      <c r="A19" s="1042" t="s">
        <v>2726</v>
      </c>
      <c r="B19" s="1043" t="s">
        <v>2725</v>
      </c>
      <c r="C19" s="1043"/>
      <c r="D19" s="1043" t="s">
        <v>2724</v>
      </c>
      <c r="E19" s="1043"/>
      <c r="F19" s="1043"/>
      <c r="G19" s="1043" t="s">
        <v>2723</v>
      </c>
      <c r="H19" s="1043"/>
      <c r="I19" s="1043" t="s">
        <v>1725</v>
      </c>
      <c r="J19" s="1043"/>
      <c r="K19" s="1043"/>
      <c r="L19" s="1043" t="s">
        <v>1975</v>
      </c>
      <c r="M19" s="1043"/>
      <c r="N19" s="1043" t="s">
        <v>2168</v>
      </c>
      <c r="O19" s="1043"/>
      <c r="P19" s="1044"/>
    </row>
    <row r="20" spans="1:16" ht="42" customHeight="1" x14ac:dyDescent="0.25">
      <c r="A20" s="1045" t="s">
        <v>2599</v>
      </c>
      <c r="B20" s="1046" t="s">
        <v>2722</v>
      </c>
      <c r="C20" s="1046"/>
      <c r="D20" s="1046" t="s">
        <v>2721</v>
      </c>
      <c r="E20" s="1046"/>
      <c r="F20" s="1046"/>
      <c r="G20" s="1046" t="s">
        <v>2720</v>
      </c>
      <c r="H20" s="1046"/>
      <c r="I20" s="1046" t="s">
        <v>2719</v>
      </c>
      <c r="J20" s="1046"/>
      <c r="K20" s="1046"/>
      <c r="L20" s="1046" t="s">
        <v>2718</v>
      </c>
      <c r="M20" s="1046"/>
      <c r="N20" s="1046" t="s">
        <v>2717</v>
      </c>
      <c r="O20" s="1046"/>
      <c r="P20" s="1047"/>
    </row>
    <row r="21" spans="1:16" ht="42" customHeight="1" x14ac:dyDescent="0.25">
      <c r="A21" s="1048" t="s">
        <v>2716</v>
      </c>
      <c r="B21" s="1049" t="s">
        <v>2715</v>
      </c>
      <c r="C21" s="1049"/>
      <c r="D21" s="1049" t="s">
        <v>2714</v>
      </c>
      <c r="E21" s="1049"/>
      <c r="F21" s="1049"/>
      <c r="G21" s="1049" t="s">
        <v>2713</v>
      </c>
      <c r="H21" s="1049"/>
      <c r="I21" s="1049" t="s">
        <v>2712</v>
      </c>
      <c r="J21" s="1049"/>
      <c r="K21" s="1049"/>
      <c r="L21" s="1049" t="s">
        <v>2605</v>
      </c>
      <c r="M21" s="1049"/>
      <c r="N21" s="1049" t="s">
        <v>2711</v>
      </c>
      <c r="O21" s="1049"/>
      <c r="P21" s="1050"/>
    </row>
    <row r="22" spans="1:16" ht="42" customHeight="1" x14ac:dyDescent="0.25">
      <c r="A22" s="1048" t="s">
        <v>2622</v>
      </c>
      <c r="B22" s="1049" t="s">
        <v>2710</v>
      </c>
      <c r="C22" s="1049"/>
      <c r="D22" s="1049" t="s">
        <v>2709</v>
      </c>
      <c r="E22" s="1049"/>
      <c r="F22" s="1049"/>
      <c r="G22" s="1049" t="s">
        <v>2708</v>
      </c>
      <c r="H22" s="1049"/>
      <c r="I22" s="1049" t="s">
        <v>2707</v>
      </c>
      <c r="J22" s="1049"/>
      <c r="K22" s="1049"/>
      <c r="L22" s="1049" t="s">
        <v>2706</v>
      </c>
      <c r="M22" s="1049"/>
      <c r="N22" s="1049" t="s">
        <v>2705</v>
      </c>
      <c r="O22" s="1049"/>
      <c r="P22" s="1050"/>
    </row>
    <row r="23" spans="1:16" ht="42" customHeight="1" x14ac:dyDescent="0.25">
      <c r="A23" s="1048" t="s">
        <v>2704</v>
      </c>
      <c r="B23" s="1049" t="s">
        <v>2703</v>
      </c>
      <c r="C23" s="1049"/>
      <c r="D23" s="1049" t="s">
        <v>2702</v>
      </c>
      <c r="E23" s="1049"/>
      <c r="F23" s="1049"/>
      <c r="G23" s="1049" t="s">
        <v>2701</v>
      </c>
      <c r="H23" s="1049"/>
      <c r="I23" s="1049" t="s">
        <v>2700</v>
      </c>
      <c r="J23" s="1049"/>
      <c r="K23" s="1049"/>
      <c r="L23" s="1049" t="s">
        <v>2699</v>
      </c>
      <c r="M23" s="1049"/>
      <c r="N23" s="1049" t="s">
        <v>2698</v>
      </c>
      <c r="O23" s="1049"/>
      <c r="P23" s="1050"/>
    </row>
    <row r="24" spans="1:16" ht="42" customHeight="1" x14ac:dyDescent="0.25">
      <c r="A24" s="1048" t="s">
        <v>2697</v>
      </c>
      <c r="B24" s="1049" t="s">
        <v>2696</v>
      </c>
      <c r="C24" s="1049"/>
      <c r="D24" s="1049" t="s">
        <v>2695</v>
      </c>
      <c r="E24" s="1049"/>
      <c r="F24" s="1049"/>
      <c r="G24" s="1049" t="s">
        <v>2694</v>
      </c>
      <c r="H24" s="1049"/>
      <c r="I24" s="1049" t="s">
        <v>2693</v>
      </c>
      <c r="J24" s="1049"/>
      <c r="K24" s="1049"/>
      <c r="L24" s="1049" t="s">
        <v>2588</v>
      </c>
      <c r="M24" s="1049"/>
      <c r="N24" s="1049" t="s">
        <v>2692</v>
      </c>
      <c r="O24" s="1049"/>
      <c r="P24" s="1050"/>
    </row>
    <row r="25" spans="1:16" ht="42" customHeight="1" x14ac:dyDescent="0.25">
      <c r="A25" s="1048" t="s">
        <v>2575</v>
      </c>
      <c r="B25" s="1049" t="s">
        <v>2691</v>
      </c>
      <c r="C25" s="1049"/>
      <c r="D25" s="1049" t="s">
        <v>2690</v>
      </c>
      <c r="E25" s="1049"/>
      <c r="F25" s="1049"/>
      <c r="G25" s="1049" t="s">
        <v>2689</v>
      </c>
      <c r="H25" s="1049"/>
      <c r="I25" s="1049" t="s">
        <v>2688</v>
      </c>
      <c r="J25" s="1049"/>
      <c r="K25" s="1049"/>
      <c r="L25" s="1049" t="s">
        <v>2687</v>
      </c>
      <c r="M25" s="1049"/>
      <c r="N25" s="1049" t="s">
        <v>2686</v>
      </c>
      <c r="O25" s="1049"/>
      <c r="P25" s="1050"/>
    </row>
    <row r="26" spans="1:16" ht="42" customHeight="1" x14ac:dyDescent="0.25">
      <c r="A26" s="1048" t="s">
        <v>2685</v>
      </c>
      <c r="B26" s="1049" t="s">
        <v>2684</v>
      </c>
      <c r="C26" s="1049"/>
      <c r="D26" s="1049" t="s">
        <v>2683</v>
      </c>
      <c r="E26" s="1049"/>
      <c r="F26" s="1049"/>
      <c r="G26" s="1049" t="s">
        <v>2682</v>
      </c>
      <c r="H26" s="1049"/>
      <c r="I26" s="1049" t="s">
        <v>2681</v>
      </c>
      <c r="J26" s="1049"/>
      <c r="K26" s="1049"/>
      <c r="L26" s="1049" t="s">
        <v>2611</v>
      </c>
      <c r="M26" s="1049"/>
      <c r="N26" s="1049" t="s">
        <v>2680</v>
      </c>
      <c r="O26" s="1049"/>
      <c r="P26" s="1050"/>
    </row>
    <row r="27" spans="1:16" ht="21" customHeight="1" x14ac:dyDescent="0.25">
      <c r="A27" s="1022"/>
      <c r="B27" s="1022"/>
      <c r="C27" s="1022"/>
      <c r="D27" s="1022"/>
      <c r="E27" s="1022"/>
      <c r="F27" s="1022"/>
      <c r="G27" s="1022"/>
      <c r="H27" s="1022"/>
      <c r="I27" s="1022"/>
      <c r="J27" s="1022"/>
      <c r="K27" s="1022"/>
      <c r="L27" s="1022"/>
      <c r="M27" s="1022"/>
      <c r="N27" s="1022"/>
      <c r="O27" s="1022"/>
      <c r="P27" s="1022"/>
    </row>
    <row r="28" spans="1:16" ht="21" customHeight="1" x14ac:dyDescent="0.25">
      <c r="A28" s="1022"/>
      <c r="B28" s="1022"/>
      <c r="C28" s="1022"/>
      <c r="D28" s="1022"/>
      <c r="E28" s="1022"/>
      <c r="F28" s="1022"/>
      <c r="G28" s="1022"/>
      <c r="H28" s="1022"/>
      <c r="I28" s="1022"/>
      <c r="J28" s="1022"/>
      <c r="K28" s="1022"/>
      <c r="L28" s="1022"/>
      <c r="M28" s="1022"/>
      <c r="N28" s="1022"/>
      <c r="O28" s="1022"/>
      <c r="P28" s="1022"/>
    </row>
    <row r="29" spans="1:16" ht="33.75" customHeight="1" x14ac:dyDescent="0.25">
      <c r="A29" s="1051" t="s">
        <v>1959</v>
      </c>
      <c r="B29" s="1051" t="s">
        <v>2679</v>
      </c>
      <c r="C29" s="1051" t="s">
        <v>2678</v>
      </c>
      <c r="D29" s="1051" t="s">
        <v>2677</v>
      </c>
      <c r="E29" s="1051" t="s">
        <v>2676</v>
      </c>
      <c r="F29" s="1051" t="s">
        <v>2675</v>
      </c>
      <c r="G29" s="1051" t="s">
        <v>2674</v>
      </c>
      <c r="H29" s="1051" t="s">
        <v>2673</v>
      </c>
      <c r="I29" s="1051" t="s">
        <v>2672</v>
      </c>
      <c r="J29" s="1051" t="s">
        <v>2671</v>
      </c>
      <c r="K29" s="1051" t="s">
        <v>2670</v>
      </c>
      <c r="L29" s="1051" t="s">
        <v>2669</v>
      </c>
      <c r="M29" s="1051" t="s">
        <v>2668</v>
      </c>
      <c r="N29" s="1051" t="s">
        <v>2667</v>
      </c>
      <c r="O29" s="1051" t="s">
        <v>2666</v>
      </c>
      <c r="P29" s="1051" t="s">
        <v>2522</v>
      </c>
    </row>
    <row r="30" spans="1:16" ht="21" customHeight="1" x14ac:dyDescent="0.25">
      <c r="A30" s="1052" t="s">
        <v>1963</v>
      </c>
      <c r="B30" s="1053">
        <v>31</v>
      </c>
      <c r="C30" s="1053">
        <v>4</v>
      </c>
      <c r="D30" s="1053">
        <v>27</v>
      </c>
      <c r="E30" s="1054">
        <f t="shared" ref="E30:E41" si="1">D30*$B$6</f>
        <v>11610</v>
      </c>
      <c r="F30" s="1054">
        <f t="shared" ref="F30:F41" si="2">C30*$B$7</f>
        <v>2320</v>
      </c>
      <c r="G30" s="1054">
        <f t="shared" ref="G30:G41" si="3">B30*$B$8</f>
        <v>10850</v>
      </c>
      <c r="H30" s="1054">
        <f t="shared" ref="H30:H41" si="4">SUM(E30:G30)</f>
        <v>24780</v>
      </c>
      <c r="I30" s="1054">
        <f t="shared" ref="I30:I41" si="5">ROUND((E30+F30)*$B$12,0)</f>
        <v>2507</v>
      </c>
      <c r="J30" s="1054">
        <f t="shared" ref="J30:J41" si="6">ROUND(G30*$B$13,0)</f>
        <v>2387</v>
      </c>
      <c r="K30" s="1054">
        <f t="shared" ref="K30:K41" si="7">SUM(I30:J30)</f>
        <v>4894</v>
      </c>
      <c r="L30" s="1054">
        <f t="shared" ref="L30:L41" si="8">ROUND(H30*$B$14,0)</f>
        <v>2974</v>
      </c>
      <c r="M30" s="1054">
        <f t="shared" ref="M30:M41" si="9">C30</f>
        <v>4</v>
      </c>
      <c r="N30" s="1055">
        <v>4</v>
      </c>
      <c r="O30" s="1055">
        <v>2</v>
      </c>
      <c r="P30" s="1056" t="s">
        <v>2665</v>
      </c>
    </row>
    <row r="31" spans="1:16" ht="21" customHeight="1" x14ac:dyDescent="0.25">
      <c r="A31" s="1052" t="s">
        <v>1964</v>
      </c>
      <c r="B31" s="1053">
        <v>28</v>
      </c>
      <c r="C31" s="1053">
        <v>4</v>
      </c>
      <c r="D31" s="1053">
        <v>24</v>
      </c>
      <c r="E31" s="1054">
        <f t="shared" si="1"/>
        <v>10320</v>
      </c>
      <c r="F31" s="1054">
        <f t="shared" si="2"/>
        <v>2320</v>
      </c>
      <c r="G31" s="1054">
        <f t="shared" si="3"/>
        <v>9800</v>
      </c>
      <c r="H31" s="1054">
        <f t="shared" si="4"/>
        <v>22440</v>
      </c>
      <c r="I31" s="1054">
        <f t="shared" si="5"/>
        <v>2275</v>
      </c>
      <c r="J31" s="1054">
        <f t="shared" si="6"/>
        <v>2156</v>
      </c>
      <c r="K31" s="1054">
        <f t="shared" si="7"/>
        <v>4431</v>
      </c>
      <c r="L31" s="1054">
        <f t="shared" si="8"/>
        <v>2693</v>
      </c>
      <c r="M31" s="1054">
        <f t="shared" si="9"/>
        <v>4</v>
      </c>
      <c r="N31" s="1055">
        <v>5</v>
      </c>
      <c r="O31" s="1055">
        <v>1</v>
      </c>
      <c r="P31" s="1056" t="s">
        <v>2664</v>
      </c>
    </row>
    <row r="32" spans="1:16" ht="21" customHeight="1" x14ac:dyDescent="0.25">
      <c r="A32" s="1052" t="s">
        <v>1965</v>
      </c>
      <c r="B32" s="1053">
        <v>31</v>
      </c>
      <c r="C32" s="1053">
        <v>5</v>
      </c>
      <c r="D32" s="1053">
        <v>26</v>
      </c>
      <c r="E32" s="1054">
        <f t="shared" si="1"/>
        <v>11180</v>
      </c>
      <c r="F32" s="1054">
        <f t="shared" si="2"/>
        <v>2900</v>
      </c>
      <c r="G32" s="1054">
        <f t="shared" si="3"/>
        <v>10850</v>
      </c>
      <c r="H32" s="1054">
        <f t="shared" si="4"/>
        <v>24930</v>
      </c>
      <c r="I32" s="1054">
        <f t="shared" si="5"/>
        <v>2534</v>
      </c>
      <c r="J32" s="1054">
        <f t="shared" si="6"/>
        <v>2387</v>
      </c>
      <c r="K32" s="1054">
        <f t="shared" si="7"/>
        <v>4921</v>
      </c>
      <c r="L32" s="1054">
        <f t="shared" si="8"/>
        <v>2992</v>
      </c>
      <c r="M32" s="1054">
        <f t="shared" si="9"/>
        <v>5</v>
      </c>
      <c r="N32" s="1055">
        <v>6</v>
      </c>
      <c r="O32" s="1055">
        <v>2</v>
      </c>
      <c r="P32" s="1056" t="s">
        <v>2663</v>
      </c>
    </row>
    <row r="33" spans="1:16" ht="21" customHeight="1" x14ac:dyDescent="0.25">
      <c r="A33" s="1052" t="s">
        <v>1966</v>
      </c>
      <c r="B33" s="1053">
        <v>30</v>
      </c>
      <c r="C33" s="1053">
        <v>4</v>
      </c>
      <c r="D33" s="1053">
        <v>26</v>
      </c>
      <c r="E33" s="1054">
        <f t="shared" si="1"/>
        <v>11180</v>
      </c>
      <c r="F33" s="1054">
        <f t="shared" si="2"/>
        <v>2320</v>
      </c>
      <c r="G33" s="1054">
        <f t="shared" si="3"/>
        <v>10500</v>
      </c>
      <c r="H33" s="1054">
        <f t="shared" si="4"/>
        <v>24000</v>
      </c>
      <c r="I33" s="1054">
        <f t="shared" si="5"/>
        <v>2430</v>
      </c>
      <c r="J33" s="1054">
        <f t="shared" si="6"/>
        <v>2310</v>
      </c>
      <c r="K33" s="1054">
        <f t="shared" si="7"/>
        <v>4740</v>
      </c>
      <c r="L33" s="1054">
        <f t="shared" si="8"/>
        <v>2880</v>
      </c>
      <c r="M33" s="1054">
        <f t="shared" si="9"/>
        <v>4</v>
      </c>
      <c r="N33" s="1055">
        <v>6</v>
      </c>
      <c r="O33" s="1055">
        <v>1</v>
      </c>
      <c r="P33" s="1056" t="s">
        <v>2662</v>
      </c>
    </row>
    <row r="34" spans="1:16" ht="21" customHeight="1" x14ac:dyDescent="0.25">
      <c r="A34" s="1052" t="s">
        <v>1967</v>
      </c>
      <c r="B34" s="1053">
        <v>31</v>
      </c>
      <c r="C34" s="1053">
        <v>5</v>
      </c>
      <c r="D34" s="1053">
        <v>26</v>
      </c>
      <c r="E34" s="1054">
        <f t="shared" si="1"/>
        <v>11180</v>
      </c>
      <c r="F34" s="1054">
        <f t="shared" si="2"/>
        <v>2900</v>
      </c>
      <c r="G34" s="1054">
        <f t="shared" si="3"/>
        <v>10850</v>
      </c>
      <c r="H34" s="1054">
        <f t="shared" si="4"/>
        <v>24930</v>
      </c>
      <c r="I34" s="1054">
        <f t="shared" si="5"/>
        <v>2534</v>
      </c>
      <c r="J34" s="1054">
        <f t="shared" si="6"/>
        <v>2387</v>
      </c>
      <c r="K34" s="1054">
        <f t="shared" si="7"/>
        <v>4921</v>
      </c>
      <c r="L34" s="1054">
        <f t="shared" si="8"/>
        <v>2992</v>
      </c>
      <c r="M34" s="1054">
        <f t="shared" si="9"/>
        <v>5</v>
      </c>
      <c r="N34" s="1055">
        <v>7</v>
      </c>
      <c r="O34" s="1055">
        <v>2</v>
      </c>
      <c r="P34" s="1056" t="s">
        <v>2661</v>
      </c>
    </row>
    <row r="35" spans="1:16" ht="21" customHeight="1" x14ac:dyDescent="0.25">
      <c r="A35" s="1052" t="s">
        <v>1968</v>
      </c>
      <c r="B35" s="1053">
        <v>30</v>
      </c>
      <c r="C35" s="1053">
        <v>4</v>
      </c>
      <c r="D35" s="1053">
        <v>26</v>
      </c>
      <c r="E35" s="1054">
        <f t="shared" si="1"/>
        <v>11180</v>
      </c>
      <c r="F35" s="1054">
        <f t="shared" si="2"/>
        <v>2320</v>
      </c>
      <c r="G35" s="1054">
        <f t="shared" si="3"/>
        <v>10500</v>
      </c>
      <c r="H35" s="1054">
        <f t="shared" si="4"/>
        <v>24000</v>
      </c>
      <c r="I35" s="1054">
        <f t="shared" si="5"/>
        <v>2430</v>
      </c>
      <c r="J35" s="1054">
        <f t="shared" si="6"/>
        <v>2310</v>
      </c>
      <c r="K35" s="1054">
        <f t="shared" si="7"/>
        <v>4740</v>
      </c>
      <c r="L35" s="1054">
        <f t="shared" si="8"/>
        <v>2880</v>
      </c>
      <c r="M35" s="1054">
        <f t="shared" si="9"/>
        <v>4</v>
      </c>
      <c r="N35" s="1055">
        <v>7</v>
      </c>
      <c r="O35" s="1055">
        <v>1</v>
      </c>
      <c r="P35" s="1056" t="s">
        <v>2660</v>
      </c>
    </row>
    <row r="36" spans="1:16" ht="21" customHeight="1" x14ac:dyDescent="0.25">
      <c r="A36" s="1052" t="s">
        <v>1969</v>
      </c>
      <c r="B36" s="1053">
        <v>31</v>
      </c>
      <c r="C36" s="1053">
        <v>4</v>
      </c>
      <c r="D36" s="1053">
        <v>27</v>
      </c>
      <c r="E36" s="1054">
        <f t="shared" si="1"/>
        <v>11610</v>
      </c>
      <c r="F36" s="1054">
        <f t="shared" si="2"/>
        <v>2320</v>
      </c>
      <c r="G36" s="1054">
        <f t="shared" si="3"/>
        <v>10850</v>
      </c>
      <c r="H36" s="1054">
        <f t="shared" si="4"/>
        <v>24780</v>
      </c>
      <c r="I36" s="1054">
        <f t="shared" si="5"/>
        <v>2507</v>
      </c>
      <c r="J36" s="1054">
        <f t="shared" si="6"/>
        <v>2387</v>
      </c>
      <c r="K36" s="1054">
        <f t="shared" si="7"/>
        <v>4894</v>
      </c>
      <c r="L36" s="1054">
        <f t="shared" si="8"/>
        <v>2974</v>
      </c>
      <c r="M36" s="1054">
        <f t="shared" si="9"/>
        <v>4</v>
      </c>
      <c r="N36" s="1055">
        <v>7</v>
      </c>
      <c r="O36" s="1055">
        <v>1</v>
      </c>
      <c r="P36" s="1056" t="s">
        <v>2659</v>
      </c>
    </row>
    <row r="37" spans="1:16" ht="21" customHeight="1" x14ac:dyDescent="0.25">
      <c r="A37" s="1052" t="s">
        <v>1970</v>
      </c>
      <c r="B37" s="1053">
        <v>31</v>
      </c>
      <c r="C37" s="1053">
        <v>5</v>
      </c>
      <c r="D37" s="1053">
        <v>26</v>
      </c>
      <c r="E37" s="1054">
        <f t="shared" si="1"/>
        <v>11180</v>
      </c>
      <c r="F37" s="1054">
        <f t="shared" si="2"/>
        <v>2900</v>
      </c>
      <c r="G37" s="1054">
        <f t="shared" si="3"/>
        <v>10850</v>
      </c>
      <c r="H37" s="1054">
        <f t="shared" si="4"/>
        <v>24930</v>
      </c>
      <c r="I37" s="1054">
        <f t="shared" si="5"/>
        <v>2534</v>
      </c>
      <c r="J37" s="1054">
        <f t="shared" si="6"/>
        <v>2387</v>
      </c>
      <c r="K37" s="1054">
        <f t="shared" si="7"/>
        <v>4921</v>
      </c>
      <c r="L37" s="1054">
        <f t="shared" si="8"/>
        <v>2992</v>
      </c>
      <c r="M37" s="1054">
        <f t="shared" si="9"/>
        <v>5</v>
      </c>
      <c r="N37" s="1055">
        <v>8</v>
      </c>
      <c r="O37" s="1055">
        <v>2</v>
      </c>
      <c r="P37" s="1056" t="s">
        <v>2658</v>
      </c>
    </row>
    <row r="38" spans="1:16" ht="21" customHeight="1" x14ac:dyDescent="0.25">
      <c r="A38" s="1052" t="s">
        <v>1971</v>
      </c>
      <c r="B38" s="1053">
        <v>30</v>
      </c>
      <c r="C38" s="1053">
        <v>4</v>
      </c>
      <c r="D38" s="1053">
        <v>26</v>
      </c>
      <c r="E38" s="1054">
        <f t="shared" si="1"/>
        <v>11180</v>
      </c>
      <c r="F38" s="1054">
        <f t="shared" si="2"/>
        <v>2320</v>
      </c>
      <c r="G38" s="1054">
        <f t="shared" si="3"/>
        <v>10500</v>
      </c>
      <c r="H38" s="1054">
        <f t="shared" si="4"/>
        <v>24000</v>
      </c>
      <c r="I38" s="1054">
        <f t="shared" si="5"/>
        <v>2430</v>
      </c>
      <c r="J38" s="1054">
        <f t="shared" si="6"/>
        <v>2310</v>
      </c>
      <c r="K38" s="1054">
        <f t="shared" si="7"/>
        <v>4740</v>
      </c>
      <c r="L38" s="1054">
        <f t="shared" si="8"/>
        <v>2880</v>
      </c>
      <c r="M38" s="1054">
        <f t="shared" si="9"/>
        <v>4</v>
      </c>
      <c r="N38" s="1055">
        <v>8</v>
      </c>
      <c r="O38" s="1055">
        <v>1</v>
      </c>
      <c r="P38" s="1056" t="s">
        <v>2657</v>
      </c>
    </row>
    <row r="39" spans="1:16" ht="21" customHeight="1" x14ac:dyDescent="0.25">
      <c r="A39" s="1052" t="s">
        <v>1972</v>
      </c>
      <c r="B39" s="1053">
        <v>31</v>
      </c>
      <c r="C39" s="1053">
        <v>4</v>
      </c>
      <c r="D39" s="1053">
        <v>27</v>
      </c>
      <c r="E39" s="1054">
        <f t="shared" si="1"/>
        <v>11610</v>
      </c>
      <c r="F39" s="1054">
        <f t="shared" si="2"/>
        <v>2320</v>
      </c>
      <c r="G39" s="1054">
        <f t="shared" si="3"/>
        <v>10850</v>
      </c>
      <c r="H39" s="1054">
        <f t="shared" si="4"/>
        <v>24780</v>
      </c>
      <c r="I39" s="1054">
        <f t="shared" si="5"/>
        <v>2507</v>
      </c>
      <c r="J39" s="1054">
        <f t="shared" si="6"/>
        <v>2387</v>
      </c>
      <c r="K39" s="1054">
        <f t="shared" si="7"/>
        <v>4894</v>
      </c>
      <c r="L39" s="1054">
        <f t="shared" si="8"/>
        <v>2974</v>
      </c>
      <c r="M39" s="1054">
        <f t="shared" si="9"/>
        <v>4</v>
      </c>
      <c r="N39" s="1055">
        <v>8</v>
      </c>
      <c r="O39" s="1055">
        <v>1</v>
      </c>
      <c r="P39" s="1056" t="s">
        <v>2656</v>
      </c>
    </row>
    <row r="40" spans="1:16" ht="21" customHeight="1" x14ac:dyDescent="0.25">
      <c r="A40" s="1052" t="s">
        <v>1973</v>
      </c>
      <c r="B40" s="1053">
        <v>30</v>
      </c>
      <c r="C40" s="1053">
        <v>5</v>
      </c>
      <c r="D40" s="1053">
        <v>25</v>
      </c>
      <c r="E40" s="1054">
        <f t="shared" si="1"/>
        <v>10750</v>
      </c>
      <c r="F40" s="1054">
        <f t="shared" si="2"/>
        <v>2900</v>
      </c>
      <c r="G40" s="1054">
        <f t="shared" si="3"/>
        <v>10500</v>
      </c>
      <c r="H40" s="1054">
        <f t="shared" si="4"/>
        <v>24150</v>
      </c>
      <c r="I40" s="1054">
        <f t="shared" si="5"/>
        <v>2457</v>
      </c>
      <c r="J40" s="1054">
        <f t="shared" si="6"/>
        <v>2310</v>
      </c>
      <c r="K40" s="1054">
        <f t="shared" si="7"/>
        <v>4767</v>
      </c>
      <c r="L40" s="1054">
        <f t="shared" si="8"/>
        <v>2898</v>
      </c>
      <c r="M40" s="1054">
        <f t="shared" si="9"/>
        <v>5</v>
      </c>
      <c r="N40" s="1055">
        <v>9</v>
      </c>
      <c r="O40" s="1055">
        <v>2</v>
      </c>
      <c r="P40" s="1056" t="s">
        <v>2655</v>
      </c>
    </row>
    <row r="41" spans="1:16" ht="21" customHeight="1" x14ac:dyDescent="0.25">
      <c r="A41" s="1052" t="s">
        <v>1974</v>
      </c>
      <c r="B41" s="1053">
        <v>31</v>
      </c>
      <c r="C41" s="1053">
        <v>4</v>
      </c>
      <c r="D41" s="1053">
        <v>27</v>
      </c>
      <c r="E41" s="1054">
        <f t="shared" si="1"/>
        <v>11610</v>
      </c>
      <c r="F41" s="1054">
        <f t="shared" si="2"/>
        <v>2320</v>
      </c>
      <c r="G41" s="1054">
        <f t="shared" si="3"/>
        <v>10850</v>
      </c>
      <c r="H41" s="1054">
        <f t="shared" si="4"/>
        <v>24780</v>
      </c>
      <c r="I41" s="1054">
        <f t="shared" si="5"/>
        <v>2507</v>
      </c>
      <c r="J41" s="1054">
        <f t="shared" si="6"/>
        <v>2387</v>
      </c>
      <c r="K41" s="1054">
        <f t="shared" si="7"/>
        <v>4894</v>
      </c>
      <c r="L41" s="1054">
        <f t="shared" si="8"/>
        <v>2974</v>
      </c>
      <c r="M41" s="1054">
        <f t="shared" si="9"/>
        <v>4</v>
      </c>
      <c r="N41" s="1055">
        <v>9</v>
      </c>
      <c r="O41" s="1055">
        <v>1</v>
      </c>
      <c r="P41" s="1056" t="s">
        <v>2654</v>
      </c>
    </row>
    <row r="42" spans="1:16" ht="21" customHeight="1" x14ac:dyDescent="0.25">
      <c r="A42" s="1057" t="s">
        <v>2653</v>
      </c>
      <c r="B42" s="1058">
        <f t="shared" ref="B42:M42" si="10">SUM(B30:B41)</f>
        <v>365</v>
      </c>
      <c r="C42" s="1058">
        <f t="shared" si="10"/>
        <v>52</v>
      </c>
      <c r="D42" s="1058">
        <f t="shared" si="10"/>
        <v>313</v>
      </c>
      <c r="E42" s="1058">
        <f t="shared" si="10"/>
        <v>134590</v>
      </c>
      <c r="F42" s="1058">
        <f t="shared" si="10"/>
        <v>30160</v>
      </c>
      <c r="G42" s="1058">
        <f t="shared" si="10"/>
        <v>127750</v>
      </c>
      <c r="H42" s="1058">
        <f t="shared" si="10"/>
        <v>292500</v>
      </c>
      <c r="I42" s="1058">
        <f t="shared" si="10"/>
        <v>29652</v>
      </c>
      <c r="J42" s="1058">
        <f t="shared" si="10"/>
        <v>28105</v>
      </c>
      <c r="K42" s="1058">
        <f t="shared" si="10"/>
        <v>57757</v>
      </c>
      <c r="L42" s="1058">
        <f t="shared" si="10"/>
        <v>35103</v>
      </c>
      <c r="M42" s="1058">
        <f t="shared" si="10"/>
        <v>52</v>
      </c>
      <c r="N42" s="1058">
        <f>AVERAGE(N30:N41)</f>
        <v>7</v>
      </c>
      <c r="O42" s="1058">
        <f>SUM(O30:O41)</f>
        <v>17</v>
      </c>
      <c r="P42" s="1059" t="s">
        <v>2652</v>
      </c>
    </row>
    <row r="43" spans="1:16" ht="21" customHeight="1" x14ac:dyDescent="0.25">
      <c r="A43" s="1022"/>
      <c r="B43" s="1022"/>
      <c r="C43" s="1022"/>
      <c r="D43" s="1022"/>
      <c r="E43" s="1022"/>
      <c r="F43" s="1022"/>
      <c r="G43" s="1022"/>
      <c r="H43" s="1022"/>
      <c r="I43" s="1022"/>
      <c r="J43" s="1022"/>
      <c r="K43" s="1022"/>
      <c r="L43" s="1022"/>
      <c r="M43" s="1022"/>
      <c r="N43" s="1022"/>
      <c r="O43" s="1022"/>
      <c r="P43" s="1022"/>
    </row>
    <row r="44" spans="1:16" ht="21" customHeight="1" x14ac:dyDescent="0.25">
      <c r="A44" s="1022"/>
      <c r="B44" s="1022"/>
      <c r="C44" s="1022"/>
      <c r="D44" s="1022"/>
      <c r="E44" s="1022"/>
      <c r="F44" s="1022"/>
      <c r="G44" s="1022"/>
      <c r="H44" s="1022"/>
      <c r="I44" s="1022"/>
      <c r="J44" s="1022"/>
      <c r="K44" s="1022"/>
      <c r="L44" s="1022"/>
      <c r="M44" s="1022"/>
      <c r="N44" s="1022"/>
      <c r="O44" s="1022"/>
      <c r="P44" s="1022"/>
    </row>
    <row r="45" spans="1:16" s="1065" customFormat="1" ht="39.75" customHeight="1" x14ac:dyDescent="0.25">
      <c r="A45" s="1060" t="s">
        <v>2048</v>
      </c>
      <c r="B45" s="1061" t="s">
        <v>2651</v>
      </c>
      <c r="C45" s="1062"/>
      <c r="D45" s="1062" t="s">
        <v>2650</v>
      </c>
      <c r="E45" s="1062" t="s">
        <v>2649</v>
      </c>
      <c r="F45" s="1061" t="s">
        <v>2648</v>
      </c>
      <c r="G45" s="1061" t="s">
        <v>2647</v>
      </c>
      <c r="H45" s="1061" t="s">
        <v>2646</v>
      </c>
      <c r="I45" s="1062"/>
      <c r="J45" s="1063" t="s">
        <v>2645</v>
      </c>
      <c r="K45" s="1062"/>
      <c r="L45" s="1064"/>
      <c r="M45" s="1040"/>
      <c r="N45" s="1040"/>
      <c r="O45" s="1040"/>
      <c r="P45" s="1040"/>
    </row>
    <row r="46" spans="1:16" s="1065" customFormat="1" ht="42" customHeight="1" x14ac:dyDescent="0.25">
      <c r="A46" s="1066" t="s">
        <v>2644</v>
      </c>
      <c r="B46" s="1067" t="s">
        <v>2643</v>
      </c>
      <c r="C46" s="1067"/>
      <c r="D46" s="1068">
        <v>1.38</v>
      </c>
      <c r="E46" s="1068">
        <v>1.05</v>
      </c>
      <c r="F46" s="1069">
        <v>12000</v>
      </c>
      <c r="G46" s="1070">
        <f>(E46-D46)*F46</f>
        <v>-3959.9999999999982</v>
      </c>
      <c r="H46" s="1071" t="s">
        <v>2642</v>
      </c>
      <c r="I46" s="1071"/>
      <c r="J46" s="1071" t="s">
        <v>2641</v>
      </c>
      <c r="K46" s="1071"/>
      <c r="L46" s="1072"/>
      <c r="M46" s="1040"/>
      <c r="N46" s="1040"/>
      <c r="O46" s="1040"/>
      <c r="P46" s="1040"/>
    </row>
    <row r="47" spans="1:16" s="1065" customFormat="1" ht="42" customHeight="1" x14ac:dyDescent="0.25">
      <c r="A47" s="1066" t="s">
        <v>2640</v>
      </c>
      <c r="B47" s="1067" t="s">
        <v>2639</v>
      </c>
      <c r="C47" s="1067"/>
      <c r="D47" s="1068">
        <v>1.45</v>
      </c>
      <c r="E47" s="1068">
        <v>1.18</v>
      </c>
      <c r="F47" s="1069">
        <v>8000</v>
      </c>
      <c r="G47" s="1070">
        <f>(E47-D47)*F47</f>
        <v>-2160</v>
      </c>
      <c r="H47" s="1071" t="s">
        <v>2638</v>
      </c>
      <c r="I47" s="1071"/>
      <c r="J47" s="1071" t="s">
        <v>2637</v>
      </c>
      <c r="K47" s="1071"/>
      <c r="L47" s="1072"/>
      <c r="M47" s="1040"/>
      <c r="N47" s="1040"/>
      <c r="O47" s="1040"/>
      <c r="P47" s="1040"/>
    </row>
    <row r="48" spans="1:16" s="1065" customFormat="1" ht="42" customHeight="1" x14ac:dyDescent="0.25">
      <c r="A48" s="1066" t="s">
        <v>1830</v>
      </c>
      <c r="B48" s="1067" t="s">
        <v>2636</v>
      </c>
      <c r="C48" s="1067"/>
      <c r="D48" s="1068">
        <v>1.35</v>
      </c>
      <c r="E48" s="1068">
        <v>1.22</v>
      </c>
      <c r="F48" s="1069">
        <v>2500</v>
      </c>
      <c r="G48" s="1070">
        <f>(E48-D48)*F48</f>
        <v>-325.00000000000028</v>
      </c>
      <c r="H48" s="1071" t="s">
        <v>2635</v>
      </c>
      <c r="I48" s="1071"/>
      <c r="J48" s="1071" t="s">
        <v>2634</v>
      </c>
      <c r="K48" s="1071"/>
      <c r="L48" s="1072"/>
      <c r="M48" s="1040"/>
      <c r="N48" s="1040"/>
      <c r="O48" s="1040"/>
      <c r="P48" s="1040"/>
    </row>
    <row r="49" spans="1:16" s="1065" customFormat="1" ht="42" customHeight="1" x14ac:dyDescent="0.25">
      <c r="A49" s="1066" t="s">
        <v>2633</v>
      </c>
      <c r="B49" s="1067" t="s">
        <v>2632</v>
      </c>
      <c r="C49" s="1067"/>
      <c r="D49" s="1068">
        <v>1.62</v>
      </c>
      <c r="E49" s="1068">
        <v>1.74</v>
      </c>
      <c r="F49" s="1069">
        <v>18000</v>
      </c>
      <c r="G49" s="1070">
        <f>(E49-D49)*F49</f>
        <v>2159.9999999999977</v>
      </c>
      <c r="H49" s="1071" t="s">
        <v>2631</v>
      </c>
      <c r="I49" s="1071"/>
      <c r="J49" s="1071" t="s">
        <v>2630</v>
      </c>
      <c r="K49" s="1071"/>
      <c r="L49" s="1072"/>
      <c r="M49" s="1040"/>
      <c r="N49" s="1040"/>
      <c r="O49" s="1040"/>
      <c r="P49" s="1040"/>
    </row>
    <row r="50" spans="1:16" s="1065" customFormat="1" ht="42" customHeight="1" x14ac:dyDescent="0.25">
      <c r="A50" s="1066" t="s">
        <v>2575</v>
      </c>
      <c r="B50" s="1067" t="s">
        <v>2629</v>
      </c>
      <c r="C50" s="1067"/>
      <c r="D50" s="1068">
        <v>1.85</v>
      </c>
      <c r="E50" s="1068">
        <v>1.78</v>
      </c>
      <c r="F50" s="1069">
        <v>30160</v>
      </c>
      <c r="G50" s="1070">
        <f>(E50-D50)*F50</f>
        <v>-2111.2000000000021</v>
      </c>
      <c r="H50" s="1071" t="s">
        <v>2628</v>
      </c>
      <c r="I50" s="1071"/>
      <c r="J50" s="1071" t="s">
        <v>2627</v>
      </c>
      <c r="K50" s="1071"/>
      <c r="L50" s="1072"/>
      <c r="M50" s="1040"/>
      <c r="N50" s="1040"/>
      <c r="O50" s="1040"/>
      <c r="P50" s="1040"/>
    </row>
    <row r="51" spans="1:16" s="1065" customFormat="1" ht="21" customHeight="1" x14ac:dyDescent="0.25">
      <c r="A51" s="1073"/>
      <c r="B51" s="1073"/>
      <c r="C51" s="1073"/>
      <c r="D51" s="1040"/>
      <c r="E51" s="1040"/>
      <c r="F51" s="1040"/>
      <c r="G51" s="1040"/>
      <c r="H51" s="1040"/>
      <c r="I51" s="1040"/>
      <c r="J51" s="1040"/>
      <c r="K51" s="1040"/>
      <c r="L51" s="1040"/>
      <c r="M51" s="1040"/>
      <c r="N51" s="1040"/>
      <c r="O51" s="1040"/>
      <c r="P51" s="1040"/>
    </row>
    <row r="52" spans="1:16" ht="21" customHeight="1" x14ac:dyDescent="0.25">
      <c r="A52" s="1023"/>
      <c r="B52" s="1023"/>
      <c r="C52" s="1023"/>
      <c r="D52" s="1022"/>
      <c r="E52" s="1022"/>
      <c r="F52" s="1022"/>
      <c r="G52" s="1022"/>
      <c r="H52" s="1022"/>
      <c r="I52" s="1022"/>
      <c r="J52" s="1022"/>
      <c r="K52" s="1022"/>
      <c r="L52" s="1022"/>
      <c r="M52" s="1022"/>
      <c r="N52" s="1022"/>
      <c r="O52" s="1022"/>
      <c r="P52" s="1022"/>
    </row>
    <row r="53" spans="1:16" s="1065" customFormat="1" ht="41.25" customHeight="1" x14ac:dyDescent="0.25">
      <c r="A53" s="1074" t="s">
        <v>2626</v>
      </c>
      <c r="B53" s="1075" t="s">
        <v>1976</v>
      </c>
      <c r="C53" s="1075" t="s">
        <v>2625</v>
      </c>
      <c r="D53" s="1076"/>
      <c r="E53" s="1076" t="s">
        <v>2624</v>
      </c>
      <c r="F53" s="1076"/>
      <c r="G53" s="1076" t="s">
        <v>2623</v>
      </c>
      <c r="H53" s="1076"/>
      <c r="I53" s="1076" t="s">
        <v>1975</v>
      </c>
      <c r="J53" s="1077"/>
      <c r="K53" s="1040"/>
      <c r="L53" s="1040"/>
      <c r="M53" s="1040"/>
      <c r="N53" s="1040"/>
      <c r="O53" s="1040"/>
      <c r="P53" s="1040"/>
    </row>
    <row r="54" spans="1:16" s="1065" customFormat="1" ht="42" customHeight="1" x14ac:dyDescent="0.25">
      <c r="A54" s="1078" t="s">
        <v>2622</v>
      </c>
      <c r="B54" s="1079" t="s">
        <v>2621</v>
      </c>
      <c r="C54" s="1080" t="s">
        <v>2620</v>
      </c>
      <c r="D54" s="1081"/>
      <c r="E54" s="1080" t="s">
        <v>2619</v>
      </c>
      <c r="F54" s="1081"/>
      <c r="G54" s="1080" t="s">
        <v>2618</v>
      </c>
      <c r="H54" s="1082"/>
      <c r="I54" s="1056" t="s">
        <v>2617</v>
      </c>
      <c r="J54" s="1073"/>
      <c r="K54" s="1040"/>
      <c r="L54" s="1040"/>
      <c r="M54" s="1040"/>
      <c r="N54" s="1040"/>
      <c r="O54" s="1040"/>
      <c r="P54" s="1040"/>
    </row>
    <row r="55" spans="1:16" s="1065" customFormat="1" ht="42" customHeight="1" x14ac:dyDescent="0.25">
      <c r="A55" s="1078" t="s">
        <v>2616</v>
      </c>
      <c r="B55" s="1079" t="s">
        <v>2615</v>
      </c>
      <c r="C55" s="1080" t="s">
        <v>2614</v>
      </c>
      <c r="D55" s="1081"/>
      <c r="E55" s="1080" t="s">
        <v>2613</v>
      </c>
      <c r="F55" s="1081"/>
      <c r="G55" s="1080" t="s">
        <v>2612</v>
      </c>
      <c r="H55" s="1082"/>
      <c r="I55" s="1056" t="s">
        <v>2611</v>
      </c>
      <c r="J55" s="1073"/>
      <c r="K55" s="1040"/>
      <c r="L55" s="1040"/>
      <c r="M55" s="1040"/>
      <c r="N55" s="1040"/>
      <c r="O55" s="1040"/>
      <c r="P55" s="1040"/>
    </row>
    <row r="56" spans="1:16" s="1065" customFormat="1" ht="42" customHeight="1" x14ac:dyDescent="0.25">
      <c r="A56" s="1078" t="s">
        <v>2610</v>
      </c>
      <c r="B56" s="1079" t="s">
        <v>2609</v>
      </c>
      <c r="C56" s="1080" t="s">
        <v>2608</v>
      </c>
      <c r="D56" s="1081"/>
      <c r="E56" s="1080" t="s">
        <v>2607</v>
      </c>
      <c r="F56" s="1081"/>
      <c r="G56" s="1080" t="s">
        <v>2606</v>
      </c>
      <c r="H56" s="1082"/>
      <c r="I56" s="1056" t="s">
        <v>2605</v>
      </c>
      <c r="J56" s="1073"/>
      <c r="K56" s="1040"/>
      <c r="L56" s="1040"/>
      <c r="M56" s="1040"/>
      <c r="N56" s="1040"/>
      <c r="O56" s="1040"/>
      <c r="P56" s="1040"/>
    </row>
    <row r="57" spans="1:16" s="1065" customFormat="1" ht="42" customHeight="1" x14ac:dyDescent="0.25">
      <c r="A57" s="1078" t="s">
        <v>505</v>
      </c>
      <c r="B57" s="1079" t="s">
        <v>2604</v>
      </c>
      <c r="C57" s="1080" t="s">
        <v>2603</v>
      </c>
      <c r="D57" s="1081"/>
      <c r="E57" s="1080" t="s">
        <v>2602</v>
      </c>
      <c r="F57" s="1081"/>
      <c r="G57" s="1080" t="s">
        <v>2601</v>
      </c>
      <c r="H57" s="1082"/>
      <c r="I57" s="1056" t="s">
        <v>2600</v>
      </c>
      <c r="J57" s="1073"/>
      <c r="K57" s="1040"/>
      <c r="L57" s="1040"/>
      <c r="M57" s="1040"/>
      <c r="N57" s="1040"/>
      <c r="O57" s="1040"/>
      <c r="P57" s="1040"/>
    </row>
    <row r="58" spans="1:16" s="1065" customFormat="1" ht="42" customHeight="1" x14ac:dyDescent="0.25">
      <c r="A58" s="1078" t="s">
        <v>2599</v>
      </c>
      <c r="B58" s="1079" t="s">
        <v>2598</v>
      </c>
      <c r="C58" s="1080" t="s">
        <v>2597</v>
      </c>
      <c r="D58" s="1081"/>
      <c r="E58" s="1080" t="s">
        <v>2596</v>
      </c>
      <c r="F58" s="1081"/>
      <c r="G58" s="1080" t="s">
        <v>2595</v>
      </c>
      <c r="H58" s="1082"/>
      <c r="I58" s="1056" t="s">
        <v>2594</v>
      </c>
      <c r="J58" s="1073"/>
      <c r="K58" s="1040"/>
      <c r="L58" s="1040"/>
      <c r="M58" s="1040"/>
      <c r="N58" s="1040"/>
      <c r="O58" s="1040"/>
      <c r="P58" s="1040"/>
    </row>
    <row r="59" spans="1:16" s="1065" customFormat="1" ht="42" customHeight="1" x14ac:dyDescent="0.25">
      <c r="A59" s="1078" t="s">
        <v>2593</v>
      </c>
      <c r="B59" s="1079" t="s">
        <v>2592</v>
      </c>
      <c r="C59" s="1080" t="s">
        <v>2591</v>
      </c>
      <c r="D59" s="1081"/>
      <c r="E59" s="1080" t="s">
        <v>2590</v>
      </c>
      <c r="F59" s="1081"/>
      <c r="G59" s="1080" t="s">
        <v>2589</v>
      </c>
      <c r="H59" s="1082"/>
      <c r="I59" s="1056" t="s">
        <v>2588</v>
      </c>
      <c r="J59" s="1073"/>
      <c r="K59" s="1040"/>
      <c r="L59" s="1040"/>
      <c r="M59" s="1040"/>
      <c r="N59" s="1040"/>
      <c r="O59" s="1040"/>
      <c r="P59" s="1040"/>
    </row>
    <row r="60" spans="1:16" ht="21" customHeight="1" x14ac:dyDescent="0.25">
      <c r="A60" s="1022"/>
      <c r="B60" s="1022"/>
      <c r="C60" s="1022"/>
      <c r="D60" s="1022"/>
      <c r="E60" s="1022"/>
      <c r="F60" s="1022"/>
      <c r="G60" s="1022"/>
      <c r="H60" s="1022"/>
      <c r="I60" s="1022"/>
      <c r="J60" s="1022"/>
      <c r="K60" s="1022"/>
      <c r="L60" s="1022"/>
      <c r="M60" s="1022"/>
      <c r="N60" s="1022"/>
      <c r="O60" s="1022"/>
      <c r="P60" s="1022"/>
    </row>
    <row r="61" spans="1:16" s="1065" customFormat="1" ht="27.95" customHeight="1" x14ac:dyDescent="0.25">
      <c r="A61" s="1083" t="s">
        <v>2426</v>
      </c>
      <c r="B61" s="1084" t="s">
        <v>2468</v>
      </c>
      <c r="C61" s="1085" t="s">
        <v>2587</v>
      </c>
      <c r="D61" s="1084"/>
      <c r="E61" s="1086" t="s">
        <v>2586</v>
      </c>
      <c r="F61" s="1084"/>
      <c r="G61" s="1085" t="s">
        <v>2585</v>
      </c>
      <c r="H61" s="1087"/>
      <c r="I61" s="1087"/>
      <c r="J61" s="1087"/>
      <c r="K61" s="1040"/>
      <c r="L61" s="1040"/>
      <c r="M61" s="1040"/>
      <c r="N61" s="1040"/>
      <c r="O61" s="1040"/>
      <c r="P61" s="1040"/>
    </row>
    <row r="62" spans="1:16" s="1065" customFormat="1" ht="30" customHeight="1" x14ac:dyDescent="0.25">
      <c r="A62" s="1088" t="s">
        <v>2584</v>
      </c>
      <c r="B62" s="1089">
        <f>G8</f>
        <v>292500</v>
      </c>
      <c r="C62" s="1090" t="s">
        <v>2583</v>
      </c>
      <c r="D62" s="1081"/>
      <c r="E62" s="1091" t="str">
        <f>IF(B62&gt;250000,"SUIVI RENFORCÉ","SUIVI STANDARD")</f>
        <v>SUIVI RENFORCÉ</v>
      </c>
      <c r="F62" s="1092"/>
      <c r="G62" s="1081" t="s">
        <v>2582</v>
      </c>
      <c r="H62" s="1081"/>
      <c r="I62" s="1040"/>
      <c r="J62" s="1040"/>
      <c r="K62" s="1040"/>
      <c r="L62" s="1040"/>
      <c r="M62" s="1040"/>
      <c r="N62" s="1040"/>
      <c r="O62" s="1040"/>
      <c r="P62" s="1040"/>
    </row>
    <row r="63" spans="1:16" s="1065" customFormat="1" ht="30" customHeight="1" x14ac:dyDescent="0.25">
      <c r="A63" s="1088" t="s">
        <v>2581</v>
      </c>
      <c r="B63" s="1089">
        <f>G10</f>
        <v>57760</v>
      </c>
      <c r="C63" s="1090" t="s">
        <v>2580</v>
      </c>
      <c r="D63" s="1081"/>
      <c r="E63" s="1093" t="str">
        <f>IF(B63&gt;50000,"PRIORITÉ MIXÉS","SURVEILLANCE")</f>
        <v>PRIORITÉ MIXÉS</v>
      </c>
      <c r="F63" s="1094"/>
      <c r="G63" s="1081" t="s">
        <v>2579</v>
      </c>
      <c r="H63" s="1081"/>
      <c r="I63" s="1095"/>
      <c r="J63" s="1040"/>
      <c r="K63" s="1040"/>
      <c r="L63" s="1040"/>
      <c r="M63" s="1040"/>
      <c r="N63" s="1040"/>
      <c r="O63" s="1040"/>
      <c r="P63" s="1040"/>
    </row>
    <row r="64" spans="1:16" s="1065" customFormat="1" ht="30" customHeight="1" x14ac:dyDescent="0.25">
      <c r="A64" s="1088" t="s">
        <v>2578</v>
      </c>
      <c r="B64" s="1089">
        <f>G11</f>
        <v>35100</v>
      </c>
      <c r="C64" s="1090" t="s">
        <v>2577</v>
      </c>
      <c r="D64" s="1081"/>
      <c r="E64" s="1093" t="str">
        <f>IF(B64&gt;25000,"TRAÇABILITÉ FORTE","TRAÇABILITÉ COURANTE")</f>
        <v>TRAÇABILITÉ FORTE</v>
      </c>
      <c r="F64" s="1094"/>
      <c r="G64" s="1081" t="s">
        <v>2576</v>
      </c>
      <c r="H64" s="1081"/>
      <c r="I64" s="1095"/>
      <c r="J64" s="1040"/>
      <c r="K64" s="1040"/>
      <c r="L64" s="1040"/>
      <c r="M64" s="1040"/>
      <c r="N64" s="1040"/>
      <c r="O64" s="1040"/>
      <c r="P64" s="1040"/>
    </row>
    <row r="65" spans="1:16" s="1065" customFormat="1" ht="30" customHeight="1" x14ac:dyDescent="0.25">
      <c r="A65" s="1088" t="s">
        <v>2575</v>
      </c>
      <c r="B65" s="1089">
        <f>G15</f>
        <v>30160</v>
      </c>
      <c r="C65" s="1090" t="s">
        <v>2574</v>
      </c>
      <c r="D65" s="1081"/>
      <c r="E65" s="1093" t="str">
        <f>IF(B65&gt;25000,"À PILOTER","STANDARD")</f>
        <v>À PILOTER</v>
      </c>
      <c r="F65" s="1094"/>
      <c r="G65" s="1081" t="s">
        <v>2573</v>
      </c>
      <c r="H65" s="1081"/>
      <c r="I65" s="1095"/>
      <c r="J65" s="1040"/>
      <c r="K65" s="1040"/>
      <c r="L65" s="1040"/>
      <c r="M65" s="1040"/>
      <c r="N65" s="1040"/>
      <c r="O65" s="1040"/>
      <c r="P65" s="1040"/>
    </row>
    <row r="66" spans="1:16" s="1065" customFormat="1" ht="30" customHeight="1" x14ac:dyDescent="0.25">
      <c r="A66" s="1088" t="s">
        <v>2572</v>
      </c>
      <c r="B66" s="1089">
        <f>G9</f>
        <v>7800</v>
      </c>
      <c r="C66" s="1090" t="s">
        <v>2571</v>
      </c>
      <c r="D66" s="1081"/>
      <c r="E66" s="1093" t="str">
        <f>IF(B66&gt;0,"PRÉVOIR RENFORT","RAS")</f>
        <v>PRÉVOIR RENFORT</v>
      </c>
      <c r="F66" s="1094"/>
      <c r="G66" s="1081" t="s">
        <v>2570</v>
      </c>
      <c r="H66" s="1081"/>
      <c r="I66" s="1095"/>
      <c r="J66" s="1040"/>
      <c r="K66" s="1040"/>
      <c r="L66" s="1040"/>
      <c r="M66" s="1040"/>
      <c r="N66" s="1040"/>
      <c r="O66" s="1040"/>
      <c r="P66" s="1040"/>
    </row>
    <row r="67" spans="1:16" s="1065" customFormat="1" ht="30" customHeight="1" x14ac:dyDescent="0.25">
      <c r="A67" s="1088" t="s">
        <v>2569</v>
      </c>
      <c r="B67" s="1089">
        <f>O42</f>
        <v>17</v>
      </c>
      <c r="C67" s="1090" t="s">
        <v>2568</v>
      </c>
      <c r="D67" s="1081"/>
      <c r="E67" s="1093" t="str">
        <f>IF(B67&gt;12,"AUDIT ALLERGÈNES","OK")</f>
        <v>AUDIT ALLERGÈNES</v>
      </c>
      <c r="F67" s="1094"/>
      <c r="G67" s="1081" t="s">
        <v>2567</v>
      </c>
      <c r="H67" s="1081"/>
      <c r="I67" s="1095"/>
      <c r="J67" s="1040"/>
      <c r="K67" s="1040"/>
      <c r="L67" s="1040"/>
      <c r="M67" s="1040"/>
      <c r="N67" s="1040"/>
      <c r="O67" s="1040"/>
      <c r="P67" s="1040"/>
    </row>
    <row r="68" spans="1:16" s="1065" customFormat="1" ht="30" customHeight="1" x14ac:dyDescent="0.25">
      <c r="A68" s="1088" t="s">
        <v>2566</v>
      </c>
      <c r="B68" s="1089">
        <f>M42</f>
        <v>52</v>
      </c>
      <c r="C68" s="1090" t="s">
        <v>2565</v>
      </c>
      <c r="D68" s="1081"/>
      <c r="E68" s="1093" t="str">
        <f>IF(B68&gt;=52,"OBJECTIF ATTEINT","OBJECTIF INSUFFISANT")</f>
        <v>OBJECTIF ATTEINT</v>
      </c>
      <c r="F68" s="1094"/>
      <c r="G68" s="1081" t="s">
        <v>2564</v>
      </c>
      <c r="H68" s="1081"/>
      <c r="I68" s="1095"/>
      <c r="J68" s="1040"/>
      <c r="K68" s="1040"/>
      <c r="L68" s="1040"/>
      <c r="M68" s="1040"/>
      <c r="N68" s="1040"/>
      <c r="O68" s="1040"/>
      <c r="P68" s="1040"/>
    </row>
    <row r="69" spans="1:16" ht="21" customHeight="1" x14ac:dyDescent="0.25">
      <c r="A69" s="1022"/>
      <c r="B69" s="1022"/>
      <c r="C69" s="1022"/>
      <c r="D69" s="1022"/>
      <c r="E69" s="1022"/>
      <c r="F69" s="1022"/>
      <c r="G69" s="1022"/>
      <c r="H69" s="1022"/>
      <c r="I69" s="1022"/>
      <c r="J69" s="1022"/>
      <c r="K69" s="1022"/>
      <c r="L69" s="1022"/>
      <c r="M69" s="1022"/>
      <c r="N69" s="1022"/>
      <c r="O69" s="1022"/>
      <c r="P69" s="1022"/>
    </row>
    <row r="70" spans="1:16" ht="21" customHeight="1" x14ac:dyDescent="0.25">
      <c r="A70" s="1022"/>
      <c r="B70" s="1022"/>
      <c r="C70" s="1022"/>
      <c r="D70" s="1022"/>
      <c r="E70" s="1022"/>
      <c r="F70" s="1022"/>
      <c r="G70" s="1022"/>
      <c r="H70" s="1022"/>
      <c r="I70" s="1022"/>
      <c r="J70" s="1022"/>
      <c r="K70" s="1022"/>
      <c r="L70" s="1022"/>
      <c r="M70" s="1022"/>
      <c r="N70" s="1022"/>
      <c r="O70" s="1022"/>
      <c r="P70" s="1022"/>
    </row>
    <row r="71" spans="1:16" ht="27.95" customHeight="1" x14ac:dyDescent="0.25">
      <c r="A71" s="1096" t="s">
        <v>2563</v>
      </c>
      <c r="B71" s="1097"/>
      <c r="C71" s="1097"/>
      <c r="D71" s="1098" t="s">
        <v>2562</v>
      </c>
      <c r="E71" s="1098"/>
      <c r="F71" s="1098"/>
      <c r="G71" s="1099"/>
      <c r="H71" s="1022"/>
      <c r="I71" s="1022"/>
      <c r="J71" s="1022"/>
      <c r="K71" s="1022"/>
      <c r="L71" s="1022"/>
      <c r="M71" s="1022"/>
      <c r="N71" s="1022"/>
      <c r="O71" s="1022"/>
      <c r="P71" s="1022"/>
    </row>
    <row r="72" spans="1:16" ht="30" customHeight="1" x14ac:dyDescent="0.25">
      <c r="A72" s="1100" t="s">
        <v>2561</v>
      </c>
      <c r="B72" s="1049"/>
      <c r="C72" s="1049"/>
      <c r="D72" s="1029" t="s">
        <v>2560</v>
      </c>
      <c r="E72" s="1030"/>
      <c r="F72" s="1030"/>
      <c r="G72" s="1035"/>
      <c r="H72" s="1022"/>
      <c r="I72" s="1022"/>
      <c r="J72" s="1022"/>
      <c r="K72" s="1022"/>
      <c r="L72" s="1022"/>
      <c r="M72" s="1022"/>
      <c r="N72" s="1022"/>
      <c r="O72" s="1022"/>
      <c r="P72" s="1022"/>
    </row>
    <row r="73" spans="1:16" ht="30" customHeight="1" x14ac:dyDescent="0.25">
      <c r="A73" s="1100" t="s">
        <v>2072</v>
      </c>
      <c r="B73" s="1049"/>
      <c r="C73" s="1049"/>
      <c r="D73" s="1029" t="s">
        <v>2559</v>
      </c>
      <c r="E73" s="1030"/>
      <c r="F73" s="1030"/>
      <c r="G73" s="1035"/>
      <c r="H73" s="1022"/>
      <c r="I73" s="1022"/>
      <c r="J73" s="1022"/>
      <c r="K73" s="1022"/>
      <c r="L73" s="1022"/>
      <c r="M73" s="1022"/>
      <c r="N73" s="1022"/>
      <c r="O73" s="1022"/>
      <c r="P73" s="1022"/>
    </row>
    <row r="74" spans="1:16" ht="30" customHeight="1" x14ac:dyDescent="0.25">
      <c r="A74" s="1100" t="s">
        <v>2558</v>
      </c>
      <c r="B74" s="1049"/>
      <c r="C74" s="1049"/>
      <c r="D74" s="1029" t="s">
        <v>2557</v>
      </c>
      <c r="E74" s="1030"/>
      <c r="F74" s="1030"/>
      <c r="G74" s="1035"/>
      <c r="H74" s="1022"/>
      <c r="I74" s="1022"/>
      <c r="J74" s="1022"/>
      <c r="K74" s="1022"/>
      <c r="L74" s="1022"/>
      <c r="M74" s="1022"/>
      <c r="N74" s="1022"/>
      <c r="O74" s="1022"/>
      <c r="P74" s="1022"/>
    </row>
    <row r="75" spans="1:16" ht="30" customHeight="1" x14ac:dyDescent="0.25">
      <c r="A75" s="1100" t="s">
        <v>2556</v>
      </c>
      <c r="B75" s="1049"/>
      <c r="C75" s="1049"/>
      <c r="D75" s="1029" t="s">
        <v>2555</v>
      </c>
      <c r="E75" s="1030"/>
      <c r="F75" s="1030"/>
      <c r="G75" s="1035"/>
      <c r="H75" s="1022"/>
      <c r="I75" s="1022"/>
      <c r="J75" s="1022"/>
      <c r="K75" s="1022"/>
      <c r="L75" s="1022"/>
      <c r="M75" s="1022"/>
      <c r="N75" s="1022"/>
      <c r="O75" s="1022"/>
      <c r="P75" s="1022"/>
    </row>
    <row r="76" spans="1:16" ht="30" customHeight="1" x14ac:dyDescent="0.25">
      <c r="A76" s="1100" t="s">
        <v>2554</v>
      </c>
      <c r="B76" s="1049"/>
      <c r="C76" s="1049"/>
      <c r="D76" s="1029" t="s">
        <v>2553</v>
      </c>
      <c r="E76" s="1030"/>
      <c r="F76" s="1030"/>
      <c r="G76" s="1035"/>
      <c r="H76" s="1022"/>
      <c r="I76" s="1022"/>
      <c r="J76" s="1022"/>
      <c r="K76" s="1022"/>
      <c r="L76" s="1022"/>
      <c r="M76" s="1022"/>
      <c r="N76" s="1022"/>
      <c r="O76" s="1022"/>
      <c r="P76" s="1022"/>
    </row>
    <row r="77" spans="1:16" x14ac:dyDescent="0.25">
      <c r="A77" s="1101"/>
      <c r="B77" s="1101"/>
      <c r="C77" s="1101"/>
      <c r="D77" s="1101"/>
      <c r="E77" s="1101"/>
      <c r="F77" s="1101"/>
      <c r="G77" s="1101"/>
      <c r="H77" s="1101"/>
      <c r="I77" s="1101"/>
      <c r="J77" s="1101"/>
      <c r="K77" s="1101"/>
      <c r="L77" s="1101"/>
      <c r="M77" s="1101"/>
      <c r="N77" s="1101"/>
      <c r="O77" s="1101"/>
      <c r="P77" s="1101"/>
    </row>
  </sheetData>
  <mergeCells count="104">
    <mergeCell ref="A72:C72"/>
    <mergeCell ref="A73:C73"/>
    <mergeCell ref="A74:C74"/>
    <mergeCell ref="A75:C75"/>
    <mergeCell ref="A76:C76"/>
    <mergeCell ref="C67:D67"/>
    <mergeCell ref="E67:F67"/>
    <mergeCell ref="G67:H67"/>
    <mergeCell ref="C68:D68"/>
    <mergeCell ref="E68:F68"/>
    <mergeCell ref="G68:H68"/>
    <mergeCell ref="C65:D65"/>
    <mergeCell ref="E65:F65"/>
    <mergeCell ref="G65:H65"/>
    <mergeCell ref="C66:D66"/>
    <mergeCell ref="E66:F66"/>
    <mergeCell ref="G66:H66"/>
    <mergeCell ref="C63:D63"/>
    <mergeCell ref="E63:F63"/>
    <mergeCell ref="G63:H63"/>
    <mergeCell ref="C64:D64"/>
    <mergeCell ref="E64:F64"/>
    <mergeCell ref="G64:H64"/>
    <mergeCell ref="C59:D59"/>
    <mergeCell ref="E59:F59"/>
    <mergeCell ref="G59:H59"/>
    <mergeCell ref="C62:D62"/>
    <mergeCell ref="E62:F62"/>
    <mergeCell ref="G62:H62"/>
    <mergeCell ref="C57:D57"/>
    <mergeCell ref="E57:F57"/>
    <mergeCell ref="G57:H57"/>
    <mergeCell ref="C58:D58"/>
    <mergeCell ref="E58:F58"/>
    <mergeCell ref="G58:H58"/>
    <mergeCell ref="C55:D55"/>
    <mergeCell ref="E55:F55"/>
    <mergeCell ref="G55:H55"/>
    <mergeCell ref="C56:D56"/>
    <mergeCell ref="E56:F56"/>
    <mergeCell ref="G56:H56"/>
    <mergeCell ref="B50:C50"/>
    <mergeCell ref="H50:I50"/>
    <mergeCell ref="J50:L50"/>
    <mergeCell ref="C54:D54"/>
    <mergeCell ref="E54:F54"/>
    <mergeCell ref="G54:H54"/>
    <mergeCell ref="B48:C48"/>
    <mergeCell ref="H48:I48"/>
    <mergeCell ref="J48:L48"/>
    <mergeCell ref="B49:C49"/>
    <mergeCell ref="H49:I49"/>
    <mergeCell ref="J49:L49"/>
    <mergeCell ref="B46:C46"/>
    <mergeCell ref="H46:I46"/>
    <mergeCell ref="J46:L46"/>
    <mergeCell ref="B47:C47"/>
    <mergeCell ref="H47:I47"/>
    <mergeCell ref="J47:L47"/>
    <mergeCell ref="B26:C26"/>
    <mergeCell ref="D26:F26"/>
    <mergeCell ref="G26:H26"/>
    <mergeCell ref="I26:K26"/>
    <mergeCell ref="L26:M26"/>
    <mergeCell ref="N26:P26"/>
    <mergeCell ref="B25:C25"/>
    <mergeCell ref="D25:F25"/>
    <mergeCell ref="G25:H25"/>
    <mergeCell ref="I25:K25"/>
    <mergeCell ref="L25:M25"/>
    <mergeCell ref="N25:P25"/>
    <mergeCell ref="B24:C24"/>
    <mergeCell ref="D24:F24"/>
    <mergeCell ref="G24:H24"/>
    <mergeCell ref="I24:K24"/>
    <mergeCell ref="L24:M24"/>
    <mergeCell ref="N24:P24"/>
    <mergeCell ref="B23:C23"/>
    <mergeCell ref="D23:F23"/>
    <mergeCell ref="G23:H23"/>
    <mergeCell ref="I23:K23"/>
    <mergeCell ref="L23:M23"/>
    <mergeCell ref="N23:P23"/>
    <mergeCell ref="B22:C22"/>
    <mergeCell ref="D22:F22"/>
    <mergeCell ref="G22:H22"/>
    <mergeCell ref="I22:K22"/>
    <mergeCell ref="L22:M22"/>
    <mergeCell ref="N22:P22"/>
    <mergeCell ref="N20:P20"/>
    <mergeCell ref="B21:C21"/>
    <mergeCell ref="D21:F21"/>
    <mergeCell ref="G21:H21"/>
    <mergeCell ref="I21:K21"/>
    <mergeCell ref="L21:M21"/>
    <mergeCell ref="N21:P21"/>
    <mergeCell ref="A1:J1"/>
    <mergeCell ref="A2:J2"/>
    <mergeCell ref="A3:M3"/>
    <mergeCell ref="B20:C20"/>
    <mergeCell ref="D20:F20"/>
    <mergeCell ref="G20:H20"/>
    <mergeCell ref="I20:K20"/>
    <mergeCell ref="L20:M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46F64-FE3C-491A-AADF-F099BFE8652C}">
  <dimension ref="B1:G47"/>
  <sheetViews>
    <sheetView workbookViewId="0">
      <selection activeCell="B9" sqref="B9"/>
    </sheetView>
  </sheetViews>
  <sheetFormatPr baseColWidth="10" defaultColWidth="9.140625" defaultRowHeight="15" x14ac:dyDescent="0.25"/>
  <cols>
    <col min="1" max="1" width="9.140625" style="28"/>
    <col min="2" max="2" width="28" style="28" customWidth="1"/>
    <col min="3" max="3" width="42" style="28" customWidth="1"/>
    <col min="4" max="4" width="48.28515625" style="28" customWidth="1"/>
    <col min="5" max="5" width="31.140625" style="990" customWidth="1"/>
    <col min="6" max="6" width="34" style="28" customWidth="1"/>
    <col min="7" max="7" width="30" style="28" customWidth="1"/>
    <col min="8" max="16384" width="9.140625" style="28"/>
  </cols>
  <sheetData>
    <row r="1" spans="2:7" ht="33.950000000000003" customHeight="1" x14ac:dyDescent="0.25">
      <c r="B1" s="1006" t="s">
        <v>5080</v>
      </c>
      <c r="C1" s="1006" t="s">
        <v>5079</v>
      </c>
      <c r="D1" s="1006" t="s">
        <v>5078</v>
      </c>
      <c r="E1" s="1006" t="s">
        <v>5077</v>
      </c>
      <c r="F1" s="1006" t="s">
        <v>5076</v>
      </c>
      <c r="G1" s="1006" t="s">
        <v>5075</v>
      </c>
    </row>
    <row r="2" spans="2:7" ht="27.95" customHeight="1" x14ac:dyDescent="0.25">
      <c r="B2" s="995" t="s">
        <v>5074</v>
      </c>
      <c r="C2" s="995"/>
      <c r="D2" s="995"/>
      <c r="E2" s="995"/>
      <c r="F2" s="995"/>
      <c r="G2" s="995"/>
    </row>
    <row r="3" spans="2:7" ht="30" customHeight="1" x14ac:dyDescent="0.25">
      <c r="B3" s="1005" t="s">
        <v>5073</v>
      </c>
      <c r="C3" s="1005"/>
      <c r="D3" s="1005"/>
      <c r="E3" s="1005"/>
      <c r="F3" s="1005"/>
      <c r="G3" s="1005"/>
    </row>
    <row r="4" spans="2:7" ht="30" customHeight="1" x14ac:dyDescent="0.25">
      <c r="B4" s="1005"/>
      <c r="C4" s="1005"/>
      <c r="D4" s="1005"/>
      <c r="E4" s="1005"/>
      <c r="F4" s="1005"/>
      <c r="G4" s="1005"/>
    </row>
    <row r="5" spans="2:7" ht="21" customHeight="1" x14ac:dyDescent="0.25">
      <c r="B5" s="1004" t="s">
        <v>5072</v>
      </c>
      <c r="C5" s="1003" t="s">
        <v>5071</v>
      </c>
      <c r="D5" s="1003"/>
      <c r="E5" s="1003"/>
      <c r="F5" s="1003"/>
      <c r="G5" s="1003"/>
    </row>
    <row r="6" spans="2:7" ht="21" customHeight="1" x14ac:dyDescent="0.25">
      <c r="B6" s="1004"/>
      <c r="C6" s="1003"/>
      <c r="D6" s="1003"/>
      <c r="E6" s="1003"/>
      <c r="F6" s="1003"/>
      <c r="G6" s="1003"/>
    </row>
    <row r="7" spans="2:7" ht="21" customHeight="1" x14ac:dyDescent="0.25">
      <c r="B7" s="1004" t="s">
        <v>5070</v>
      </c>
      <c r="C7" s="1003" t="s">
        <v>5069</v>
      </c>
      <c r="D7" s="1003"/>
      <c r="E7" s="1003"/>
      <c r="F7" s="1003"/>
      <c r="G7" s="1003"/>
    </row>
    <row r="8" spans="2:7" ht="21" customHeight="1" x14ac:dyDescent="0.25">
      <c r="B8" s="1004"/>
      <c r="C8" s="1003"/>
      <c r="D8" s="1003"/>
      <c r="E8" s="1003"/>
      <c r="F8" s="1003"/>
      <c r="G8" s="1003"/>
    </row>
    <row r="9" spans="2:7" ht="15.75" x14ac:dyDescent="0.25">
      <c r="B9" s="98" t="s">
        <v>5193</v>
      </c>
      <c r="C9" s="991"/>
      <c r="D9" s="991"/>
      <c r="E9" s="992"/>
      <c r="F9" s="991"/>
      <c r="G9" s="991"/>
    </row>
    <row r="10" spans="2:7" ht="27.95" customHeight="1" x14ac:dyDescent="0.25">
      <c r="B10" s="995" t="s">
        <v>5068</v>
      </c>
      <c r="C10" s="995"/>
      <c r="D10" s="995"/>
      <c r="E10" s="995"/>
      <c r="F10" s="995"/>
      <c r="G10" s="995"/>
    </row>
    <row r="11" spans="2:7" ht="24" customHeight="1" x14ac:dyDescent="0.25">
      <c r="B11" s="1163" t="s">
        <v>3594</v>
      </c>
      <c r="C11" s="994" t="s">
        <v>5067</v>
      </c>
      <c r="D11" s="994" t="s">
        <v>2409</v>
      </c>
      <c r="E11" s="994" t="s">
        <v>5066</v>
      </c>
      <c r="F11" s="994" t="s">
        <v>5065</v>
      </c>
      <c r="G11" s="994" t="s">
        <v>5064</v>
      </c>
    </row>
    <row r="12" spans="2:7" ht="50.1" customHeight="1" x14ac:dyDescent="0.25">
      <c r="B12" s="1002" t="s">
        <v>5063</v>
      </c>
      <c r="C12" s="992" t="s">
        <v>5022</v>
      </c>
      <c r="D12" s="991" t="s">
        <v>5062</v>
      </c>
      <c r="E12" s="1001" t="s">
        <v>2891</v>
      </c>
      <c r="F12" s="991" t="s">
        <v>5061</v>
      </c>
      <c r="G12" s="991" t="s">
        <v>5060</v>
      </c>
    </row>
    <row r="13" spans="2:7" ht="50.1" customHeight="1" x14ac:dyDescent="0.25">
      <c r="B13" s="1002" t="s">
        <v>5059</v>
      </c>
      <c r="C13" s="992" t="s">
        <v>5017</v>
      </c>
      <c r="D13" s="991" t="s">
        <v>5058</v>
      </c>
      <c r="E13" s="1001" t="s">
        <v>2890</v>
      </c>
      <c r="F13" s="991" t="s">
        <v>5057</v>
      </c>
      <c r="G13" s="991" t="s">
        <v>5056</v>
      </c>
    </row>
    <row r="14" spans="2:7" ht="50.1" customHeight="1" x14ac:dyDescent="0.25">
      <c r="B14" s="1002" t="s">
        <v>5055</v>
      </c>
      <c r="C14" s="992" t="s">
        <v>5012</v>
      </c>
      <c r="D14" s="991" t="s">
        <v>5054</v>
      </c>
      <c r="E14" s="1001" t="s">
        <v>5040</v>
      </c>
      <c r="F14" s="991" t="s">
        <v>5053</v>
      </c>
      <c r="G14" s="991" t="s">
        <v>5052</v>
      </c>
    </row>
    <row r="15" spans="2:7" ht="50.1" customHeight="1" x14ac:dyDescent="0.25">
      <c r="B15" s="1002" t="s">
        <v>5051</v>
      </c>
      <c r="C15" s="992" t="s">
        <v>5007</v>
      </c>
      <c r="D15" s="991" t="s">
        <v>5050</v>
      </c>
      <c r="E15" s="1001" t="s">
        <v>5049</v>
      </c>
      <c r="F15" s="991" t="s">
        <v>5048</v>
      </c>
      <c r="G15" s="991" t="s">
        <v>5047</v>
      </c>
    </row>
    <row r="16" spans="2:7" ht="50.1" customHeight="1" x14ac:dyDescent="0.25">
      <c r="B16" s="1002" t="s">
        <v>2048</v>
      </c>
      <c r="C16" s="992" t="s">
        <v>5002</v>
      </c>
      <c r="D16" s="991" t="s">
        <v>5046</v>
      </c>
      <c r="E16" s="1001" t="s">
        <v>5045</v>
      </c>
      <c r="F16" s="991" t="s">
        <v>5044</v>
      </c>
      <c r="G16" s="991" t="s">
        <v>5043</v>
      </c>
    </row>
    <row r="17" spans="2:7" ht="50.1" customHeight="1" x14ac:dyDescent="0.25">
      <c r="B17" s="1002" t="s">
        <v>5042</v>
      </c>
      <c r="C17" s="992" t="s">
        <v>4997</v>
      </c>
      <c r="D17" s="991" t="s">
        <v>5041</v>
      </c>
      <c r="E17" s="1001" t="s">
        <v>5040</v>
      </c>
      <c r="F17" s="991" t="s">
        <v>5039</v>
      </c>
      <c r="G17" s="991" t="s">
        <v>5038</v>
      </c>
    </row>
    <row r="18" spans="2:7" ht="50.1" customHeight="1" x14ac:dyDescent="0.25">
      <c r="B18" s="1002" t="s">
        <v>2426</v>
      </c>
      <c r="C18" s="992" t="s">
        <v>4992</v>
      </c>
      <c r="D18" s="991" t="s">
        <v>5037</v>
      </c>
      <c r="E18" s="1001" t="s">
        <v>5036</v>
      </c>
      <c r="F18" s="991" t="s">
        <v>5035</v>
      </c>
      <c r="G18" s="991" t="s">
        <v>5034</v>
      </c>
    </row>
    <row r="19" spans="2:7" ht="50.1" customHeight="1" x14ac:dyDescent="0.25">
      <c r="B19" s="1002" t="s">
        <v>5033</v>
      </c>
      <c r="C19" s="992" t="s">
        <v>4987</v>
      </c>
      <c r="D19" s="991" t="s">
        <v>5032</v>
      </c>
      <c r="E19" s="1001" t="s">
        <v>2891</v>
      </c>
      <c r="F19" s="991" t="s">
        <v>5031</v>
      </c>
      <c r="G19" s="991" t="s">
        <v>5030</v>
      </c>
    </row>
    <row r="20" spans="2:7" ht="15.75" x14ac:dyDescent="0.25">
      <c r="B20" s="991"/>
      <c r="C20" s="991"/>
      <c r="D20" s="991"/>
      <c r="E20" s="992"/>
      <c r="F20" s="991"/>
      <c r="G20" s="991"/>
    </row>
    <row r="21" spans="2:7" ht="27.95" customHeight="1" x14ac:dyDescent="0.25">
      <c r="B21" s="995" t="s">
        <v>5029</v>
      </c>
      <c r="C21" s="995"/>
      <c r="D21" s="995"/>
      <c r="E21" s="995"/>
      <c r="F21" s="995"/>
      <c r="G21" s="995"/>
    </row>
    <row r="22" spans="2:7" ht="24" customHeight="1" x14ac:dyDescent="0.25">
      <c r="B22" s="994" t="s">
        <v>5028</v>
      </c>
      <c r="C22" s="994" t="s">
        <v>5027</v>
      </c>
      <c r="D22" s="994" t="s">
        <v>3594</v>
      </c>
      <c r="E22" s="994" t="s">
        <v>5026</v>
      </c>
      <c r="F22" s="994" t="s">
        <v>5025</v>
      </c>
      <c r="G22" s="994" t="s">
        <v>5024</v>
      </c>
    </row>
    <row r="23" spans="2:7" ht="50.1" customHeight="1" x14ac:dyDescent="0.25">
      <c r="B23" s="1000">
        <v>1</v>
      </c>
      <c r="C23" s="999" t="s">
        <v>5023</v>
      </c>
      <c r="D23" s="998" t="s">
        <v>5022</v>
      </c>
      <c r="E23" s="992" t="s">
        <v>5021</v>
      </c>
      <c r="F23" s="991" t="s">
        <v>5020</v>
      </c>
      <c r="G23" s="991" t="s">
        <v>5019</v>
      </c>
    </row>
    <row r="24" spans="2:7" ht="50.1" customHeight="1" x14ac:dyDescent="0.25">
      <c r="B24" s="1000">
        <v>2</v>
      </c>
      <c r="C24" s="999" t="s">
        <v>5018</v>
      </c>
      <c r="D24" s="998" t="s">
        <v>5017</v>
      </c>
      <c r="E24" s="992" t="s">
        <v>5016</v>
      </c>
      <c r="F24" s="991" t="s">
        <v>5015</v>
      </c>
      <c r="G24" s="991" t="s">
        <v>5014</v>
      </c>
    </row>
    <row r="25" spans="2:7" ht="50.1" customHeight="1" x14ac:dyDescent="0.25">
      <c r="B25" s="1000">
        <v>3</v>
      </c>
      <c r="C25" s="999" t="s">
        <v>5013</v>
      </c>
      <c r="D25" s="998" t="s">
        <v>5012</v>
      </c>
      <c r="E25" s="992" t="s">
        <v>5011</v>
      </c>
      <c r="F25" s="991" t="s">
        <v>5010</v>
      </c>
      <c r="G25" s="991" t="s">
        <v>5009</v>
      </c>
    </row>
    <row r="26" spans="2:7" ht="50.1" customHeight="1" x14ac:dyDescent="0.25">
      <c r="B26" s="1000">
        <v>4</v>
      </c>
      <c r="C26" s="999" t="s">
        <v>5008</v>
      </c>
      <c r="D26" s="998" t="s">
        <v>5007</v>
      </c>
      <c r="E26" s="992" t="s">
        <v>5006</v>
      </c>
      <c r="F26" s="991" t="s">
        <v>5005</v>
      </c>
      <c r="G26" s="991" t="s">
        <v>5004</v>
      </c>
    </row>
    <row r="27" spans="2:7" ht="50.1" customHeight="1" x14ac:dyDescent="0.25">
      <c r="B27" s="1000">
        <v>5</v>
      </c>
      <c r="C27" s="999" t="s">
        <v>5003</v>
      </c>
      <c r="D27" s="998" t="s">
        <v>5002</v>
      </c>
      <c r="E27" s="992" t="s">
        <v>5001</v>
      </c>
      <c r="F27" s="991" t="s">
        <v>5000</v>
      </c>
      <c r="G27" s="991" t="s">
        <v>4999</v>
      </c>
    </row>
    <row r="28" spans="2:7" ht="50.1" customHeight="1" x14ac:dyDescent="0.25">
      <c r="B28" s="1000">
        <v>6</v>
      </c>
      <c r="C28" s="999" t="s">
        <v>4998</v>
      </c>
      <c r="D28" s="998" t="s">
        <v>4997</v>
      </c>
      <c r="E28" s="992" t="s">
        <v>4996</v>
      </c>
      <c r="F28" s="991" t="s">
        <v>4995</v>
      </c>
      <c r="G28" s="991" t="s">
        <v>4994</v>
      </c>
    </row>
    <row r="29" spans="2:7" ht="50.1" customHeight="1" x14ac:dyDescent="0.25">
      <c r="B29" s="1000">
        <v>7</v>
      </c>
      <c r="C29" s="999" t="s">
        <v>4993</v>
      </c>
      <c r="D29" s="998" t="s">
        <v>4992</v>
      </c>
      <c r="E29" s="992" t="s">
        <v>4991</v>
      </c>
      <c r="F29" s="991" t="s">
        <v>4990</v>
      </c>
      <c r="G29" s="991" t="s">
        <v>4989</v>
      </c>
    </row>
    <row r="30" spans="2:7" ht="50.1" customHeight="1" x14ac:dyDescent="0.25">
      <c r="B30" s="1000">
        <v>8</v>
      </c>
      <c r="C30" s="999" t="s">
        <v>4988</v>
      </c>
      <c r="D30" s="998" t="s">
        <v>4987</v>
      </c>
      <c r="E30" s="992" t="s">
        <v>4986</v>
      </c>
      <c r="F30" s="991" t="s">
        <v>4985</v>
      </c>
      <c r="G30" s="991" t="s">
        <v>4984</v>
      </c>
    </row>
    <row r="31" spans="2:7" ht="15.75" x14ac:dyDescent="0.25">
      <c r="B31" s="991"/>
      <c r="C31" s="991"/>
      <c r="D31" s="991"/>
      <c r="E31" s="992"/>
      <c r="F31" s="991"/>
      <c r="G31" s="991"/>
    </row>
    <row r="32" spans="2:7" ht="27.95" customHeight="1" x14ac:dyDescent="0.25">
      <c r="B32" s="995" t="s">
        <v>4983</v>
      </c>
      <c r="C32" s="995"/>
      <c r="D32" s="995"/>
      <c r="E32" s="995"/>
      <c r="F32" s="995"/>
      <c r="G32" s="995"/>
    </row>
    <row r="33" spans="2:7" ht="24" customHeight="1" x14ac:dyDescent="0.25">
      <c r="B33" s="994" t="s">
        <v>2832</v>
      </c>
      <c r="C33" s="994" t="s">
        <v>4982</v>
      </c>
      <c r="D33" s="994"/>
      <c r="E33" s="994"/>
      <c r="F33" s="994"/>
      <c r="G33" s="994"/>
    </row>
    <row r="34" spans="2:7" ht="30" customHeight="1" x14ac:dyDescent="0.25">
      <c r="B34" s="997" t="s">
        <v>4981</v>
      </c>
      <c r="C34" s="996" t="s">
        <v>4980</v>
      </c>
      <c r="D34" s="991"/>
      <c r="E34" s="992"/>
      <c r="F34" s="991"/>
      <c r="G34" s="991"/>
    </row>
    <row r="35" spans="2:7" ht="30" customHeight="1" x14ac:dyDescent="0.25">
      <c r="B35" s="997" t="s">
        <v>4979</v>
      </c>
      <c r="C35" s="996" t="s">
        <v>4978</v>
      </c>
      <c r="D35" s="991"/>
      <c r="E35" s="992"/>
      <c r="F35" s="991"/>
      <c r="G35" s="991"/>
    </row>
    <row r="36" spans="2:7" ht="30" customHeight="1" x14ac:dyDescent="0.25">
      <c r="B36" s="997" t="s">
        <v>4977</v>
      </c>
      <c r="C36" s="996" t="s">
        <v>4976</v>
      </c>
      <c r="D36" s="991"/>
      <c r="E36" s="992"/>
      <c r="F36" s="991"/>
      <c r="G36" s="991"/>
    </row>
    <row r="37" spans="2:7" ht="30" customHeight="1" x14ac:dyDescent="0.25">
      <c r="B37" s="997" t="s">
        <v>4975</v>
      </c>
      <c r="C37" s="996" t="s">
        <v>4974</v>
      </c>
      <c r="D37" s="991"/>
      <c r="E37" s="992"/>
      <c r="F37" s="991"/>
      <c r="G37" s="991"/>
    </row>
    <row r="38" spans="2:7" ht="30" customHeight="1" x14ac:dyDescent="0.25">
      <c r="B38" s="997" t="s">
        <v>4973</v>
      </c>
      <c r="C38" s="996" t="s">
        <v>4972</v>
      </c>
      <c r="D38" s="991"/>
      <c r="E38" s="992"/>
      <c r="F38" s="991"/>
      <c r="G38" s="991"/>
    </row>
    <row r="39" spans="2:7" ht="30" customHeight="1" x14ac:dyDescent="0.25">
      <c r="B39" s="997" t="s">
        <v>4971</v>
      </c>
      <c r="C39" s="996" t="s">
        <v>4970</v>
      </c>
      <c r="D39" s="991"/>
      <c r="E39" s="992"/>
      <c r="F39" s="991"/>
      <c r="G39" s="991"/>
    </row>
    <row r="40" spans="2:7" ht="15.75" x14ac:dyDescent="0.25">
      <c r="B40" s="991"/>
      <c r="C40" s="991"/>
      <c r="D40" s="991"/>
      <c r="E40" s="992"/>
      <c r="F40" s="991"/>
      <c r="G40" s="991"/>
    </row>
    <row r="41" spans="2:7" ht="27.95" customHeight="1" x14ac:dyDescent="0.25">
      <c r="B41" s="995" t="s">
        <v>4969</v>
      </c>
      <c r="C41" s="995"/>
      <c r="D41" s="995"/>
      <c r="E41" s="995"/>
      <c r="F41" s="995"/>
      <c r="G41" s="995"/>
    </row>
    <row r="42" spans="2:7" ht="24" customHeight="1" x14ac:dyDescent="0.25">
      <c r="B42" s="994" t="s">
        <v>4968</v>
      </c>
      <c r="C42" s="994" t="s">
        <v>2166</v>
      </c>
      <c r="D42" s="994" t="s">
        <v>2522</v>
      </c>
      <c r="E42" s="994"/>
      <c r="F42" s="994"/>
      <c r="G42" s="994"/>
    </row>
    <row r="43" spans="2:7" ht="30" customHeight="1" x14ac:dyDescent="0.25">
      <c r="B43" s="991" t="s">
        <v>5081</v>
      </c>
      <c r="C43" s="991" t="s">
        <v>5082</v>
      </c>
      <c r="D43" s="993" t="s">
        <v>5083</v>
      </c>
      <c r="E43" s="992"/>
      <c r="F43" s="991"/>
      <c r="G43" s="991"/>
    </row>
    <row r="44" spans="2:7" ht="30" customHeight="1" x14ac:dyDescent="0.25">
      <c r="B44" s="991" t="s">
        <v>5084</v>
      </c>
      <c r="C44" s="991" t="s">
        <v>5085</v>
      </c>
      <c r="D44" s="993" t="s">
        <v>5086</v>
      </c>
      <c r="E44" s="992"/>
      <c r="F44" s="991"/>
      <c r="G44" s="991"/>
    </row>
    <row r="45" spans="2:7" ht="30" customHeight="1" x14ac:dyDescent="0.25">
      <c r="B45" s="991" t="s">
        <v>4965</v>
      </c>
      <c r="C45" s="991" t="s">
        <v>5087</v>
      </c>
      <c r="D45" s="993" t="s">
        <v>5088</v>
      </c>
      <c r="E45" s="992"/>
      <c r="F45" s="991"/>
      <c r="G45" s="991"/>
    </row>
    <row r="46" spans="2:7" ht="30" customHeight="1" x14ac:dyDescent="0.25">
      <c r="B46" s="991" t="s">
        <v>4964</v>
      </c>
      <c r="C46" s="991" t="s">
        <v>5087</v>
      </c>
      <c r="D46" s="993" t="s">
        <v>5089</v>
      </c>
      <c r="E46" s="992"/>
      <c r="F46" s="991"/>
      <c r="G46" s="991"/>
    </row>
    <row r="47" spans="2:7" ht="30" customHeight="1" x14ac:dyDescent="0.25">
      <c r="B47" s="991" t="s">
        <v>4963</v>
      </c>
      <c r="C47" s="991" t="s">
        <v>4962</v>
      </c>
      <c r="D47" s="993" t="s">
        <v>4961</v>
      </c>
      <c r="E47" s="992"/>
      <c r="F47" s="991"/>
      <c r="G47" s="991"/>
    </row>
  </sheetData>
  <mergeCells count="5">
    <mergeCell ref="B3:G4"/>
    <mergeCell ref="C5:G6"/>
    <mergeCell ref="C7:G8"/>
    <mergeCell ref="B7:B8"/>
    <mergeCell ref="B5: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Contenu.du.Classeur</vt:lpstr>
      <vt:lpstr>Mode_d_emploi.Plan.Protéines</vt:lpstr>
      <vt:lpstr>MOTEUR_Plan_Protéines</vt:lpstr>
      <vt:lpstr>Textes à coller.1</vt:lpstr>
      <vt:lpstr>Textes à coller.2</vt:lpstr>
      <vt:lpstr>Mode_d_emploi.Suivi.Scolaire</vt:lpstr>
      <vt:lpstr>Exemple_suivi_scolaire</vt:lpstr>
      <vt:lpstr>Exemple_suivi_EHPAD_365j</vt:lpstr>
      <vt:lpstr>Mode_d_emploi.Suivi.EHPAD</vt:lpstr>
      <vt:lpstr>Questionnaire.élèves</vt:lpstr>
      <vt:lpstr>Exploitation.réponses.Elèves</vt:lpstr>
      <vt:lpstr>Questionnaire_EHPAD</vt:lpstr>
      <vt:lpstr>Exploitation_EHPAD</vt:lpstr>
      <vt:lpstr>Proteines_vegetales</vt:lpstr>
      <vt:lpstr>Plan_proteines_explications</vt:lpstr>
      <vt:lpstr>Sources_fiables</vt:lpstr>
      <vt:lpstr>00_Mode_emploi</vt:lpstr>
      <vt:lpstr>Moteur_demo_CFA</vt:lpstr>
      <vt:lpstr>Trosième -moteur</vt:lpstr>
      <vt:lpstr>Regles_moteur</vt:lpstr>
      <vt:lpstr>Prompt.ChatGPT</vt:lpstr>
      <vt:lpstr>Transmission des savoirs.2025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Leboucher</dc:creator>
  <cp:lastModifiedBy>Joël Leboucher</cp:lastModifiedBy>
  <dcterms:created xsi:type="dcterms:W3CDTF">2026-04-25T17:36:56Z</dcterms:created>
  <dcterms:modified xsi:type="dcterms:W3CDTF">2026-06-03T20:41:49Z</dcterms:modified>
</cp:coreProperties>
</file>